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SC-DPGPF\Aprovisionamento\Serviço Aprovisionamento\DESPESA\2026\PROCEDIMENTOS\ARM_9\1900226 IPST_AV.SCM (36m)\3. PEÇAS\1. PEÇAS\"/>
    </mc:Choice>
  </mc:AlternateContent>
  <xr:revisionPtr revIDLastSave="0" documentId="13_ncr:1_{0C7E30DF-6206-4B04-92FF-8FCA16ADF1DE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BD" sheetId="2" state="hidden" r:id="rId1"/>
    <sheet name="ANEXO II - PTP" sheetId="3" r:id="rId2"/>
    <sheet name="ANEXO II - IVP" sheetId="5" r:id="rId3"/>
    <sheet name="ANEXO II - CEVE" sheetId="6" r:id="rId4"/>
  </sheets>
  <definedNames>
    <definedName name="_xlnm.Print_Area" localSheetId="3">'ANEXO II - CEVE'!$B$2:$N$47</definedName>
    <definedName name="_xlnm.Print_Area" localSheetId="2">'ANEXO II - IVP'!$B$2:$P$49</definedName>
    <definedName name="_xlnm.Print_Area" localSheetId="1">'ANEXO II - PTP'!$B$2:$T$66</definedName>
    <definedName name="COMBUSTIVEL">BD!$S$2:$S$6</definedName>
    <definedName name="INTERVALO">BD!$D$2:$D$11</definedName>
    <definedName name="IVA">BD!$Q$2:$Q$5</definedName>
    <definedName name="LUGARES">BD!$I$2:$I$5</definedName>
    <definedName name="SCM">BD!$A$2:$A$4</definedName>
    <definedName name="TIPOLOGIA">BD!$G$2:$G$5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5" l="1"/>
  <c r="T19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18" i="5"/>
  <c r="P32" i="6"/>
  <c r="D21" i="6"/>
  <c r="D17" i="6"/>
  <c r="E17" i="6"/>
  <c r="D18" i="6"/>
  <c r="E18" i="6"/>
  <c r="D19" i="6"/>
  <c r="E19" i="6"/>
  <c r="D20" i="6"/>
  <c r="E20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F17" i="6"/>
  <c r="G17" i="6"/>
  <c r="H17" i="6"/>
  <c r="I17" i="6"/>
  <c r="J17" i="6"/>
  <c r="K17" i="6"/>
  <c r="F18" i="6"/>
  <c r="G18" i="6"/>
  <c r="H18" i="6"/>
  <c r="I18" i="6"/>
  <c r="J18" i="6"/>
  <c r="K18" i="6"/>
  <c r="F19" i="6"/>
  <c r="G19" i="6"/>
  <c r="H19" i="6"/>
  <c r="I19" i="6"/>
  <c r="J19" i="6"/>
  <c r="K19" i="6"/>
  <c r="F20" i="6"/>
  <c r="G20" i="6"/>
  <c r="H20" i="6"/>
  <c r="I20" i="6"/>
  <c r="J20" i="6"/>
  <c r="K20" i="6"/>
  <c r="F21" i="6"/>
  <c r="G21" i="6"/>
  <c r="H21" i="6"/>
  <c r="I21" i="6"/>
  <c r="J21" i="6"/>
  <c r="K21" i="6"/>
  <c r="F22" i="6"/>
  <c r="G22" i="6"/>
  <c r="H22" i="6"/>
  <c r="I22" i="6"/>
  <c r="J22" i="6"/>
  <c r="K22" i="6"/>
  <c r="F23" i="6"/>
  <c r="G23" i="6"/>
  <c r="H23" i="6"/>
  <c r="I23" i="6"/>
  <c r="J23" i="6"/>
  <c r="K23" i="6"/>
  <c r="F24" i="6"/>
  <c r="G24" i="6"/>
  <c r="H24" i="6"/>
  <c r="I24" i="6"/>
  <c r="J24" i="6"/>
  <c r="K24" i="6"/>
  <c r="F25" i="6"/>
  <c r="G25" i="6"/>
  <c r="H25" i="6"/>
  <c r="I25" i="6"/>
  <c r="J25" i="6"/>
  <c r="K25" i="6"/>
  <c r="F26" i="6"/>
  <c r="G26" i="6"/>
  <c r="H26" i="6"/>
  <c r="I26" i="6"/>
  <c r="J26" i="6"/>
  <c r="K26" i="6"/>
  <c r="F27" i="6"/>
  <c r="G27" i="6"/>
  <c r="H27" i="6"/>
  <c r="I27" i="6"/>
  <c r="J27" i="6"/>
  <c r="K27" i="6"/>
  <c r="F28" i="6"/>
  <c r="G28" i="6"/>
  <c r="H28" i="6"/>
  <c r="I28" i="6"/>
  <c r="J28" i="6"/>
  <c r="K28" i="6"/>
  <c r="F29" i="6"/>
  <c r="G29" i="6"/>
  <c r="H29" i="6"/>
  <c r="I29" i="6"/>
  <c r="J29" i="6"/>
  <c r="K29" i="6"/>
  <c r="F30" i="6"/>
  <c r="G30" i="6"/>
  <c r="H30" i="6"/>
  <c r="I30" i="6"/>
  <c r="J30" i="6"/>
  <c r="K30" i="6"/>
  <c r="F31" i="6"/>
  <c r="G31" i="6"/>
  <c r="H31" i="6"/>
  <c r="I31" i="6"/>
  <c r="J31" i="6"/>
  <c r="K31" i="6"/>
  <c r="F32" i="6"/>
  <c r="G32" i="6"/>
  <c r="H32" i="6"/>
  <c r="I32" i="6"/>
  <c r="J32" i="6"/>
  <c r="K32" i="6"/>
  <c r="F16" i="6"/>
  <c r="S23" i="5" l="1"/>
  <c r="R23" i="5" s="1"/>
  <c r="D16" i="6"/>
  <c r="E16" i="6"/>
  <c r="J16" i="6"/>
  <c r="K16" i="6"/>
  <c r="I16" i="6"/>
  <c r="H16" i="6"/>
  <c r="G16" i="6"/>
  <c r="M7" i="6"/>
  <c r="E7" i="6"/>
  <c r="M16" i="6" l="1"/>
  <c r="O25" i="6"/>
  <c r="M31" i="6"/>
  <c r="M29" i="6"/>
  <c r="M23" i="6"/>
  <c r="M25" i="6"/>
  <c r="M30" i="6"/>
  <c r="M32" i="6"/>
  <c r="M27" i="6"/>
  <c r="M28" i="6"/>
  <c r="M22" i="6"/>
  <c r="M24" i="6"/>
  <c r="M26" i="6"/>
  <c r="M21" i="6"/>
  <c r="O21" i="6"/>
  <c r="P27" i="6"/>
  <c r="P26" i="6"/>
  <c r="P21" i="6"/>
  <c r="O16" i="6"/>
  <c r="P16" i="6"/>
  <c r="P17" i="6"/>
  <c r="O28" i="6"/>
  <c r="O22" i="6"/>
  <c r="O32" i="6"/>
  <c r="O27" i="6"/>
  <c r="O31" i="6"/>
  <c r="O26" i="6"/>
  <c r="O30" i="6"/>
  <c r="O24" i="6"/>
  <c r="O29" i="6"/>
  <c r="O23" i="6"/>
  <c r="O17" i="6"/>
  <c r="M17" i="6" s="1"/>
  <c r="O19" i="6"/>
  <c r="M19" i="6" s="1"/>
  <c r="O18" i="6"/>
  <c r="M18" i="6" s="1"/>
  <c r="O20" i="6"/>
  <c r="M20" i="6" s="1"/>
  <c r="P22" i="6"/>
  <c r="P18" i="6"/>
  <c r="P28" i="6"/>
  <c r="P23" i="6"/>
  <c r="P19" i="6"/>
  <c r="P25" i="6"/>
  <c r="P31" i="6"/>
  <c r="P20" i="6"/>
  <c r="P29" i="6"/>
  <c r="P24" i="6"/>
  <c r="P30" i="6"/>
  <c r="S18" i="5"/>
  <c r="R18" i="5" s="1"/>
  <c r="S19" i="5"/>
  <c r="R19" i="5" s="1"/>
  <c r="S20" i="5"/>
  <c r="R20" i="5" s="1"/>
  <c r="S21" i="5"/>
  <c r="R21" i="5" s="1"/>
  <c r="S22" i="5"/>
  <c r="R22" i="5" s="1"/>
  <c r="S24" i="5"/>
  <c r="R24" i="5" s="1"/>
  <c r="S25" i="5"/>
  <c r="R25" i="5" s="1"/>
  <c r="S26" i="5"/>
  <c r="R26" i="5" s="1"/>
  <c r="S27" i="5"/>
  <c r="R27" i="5" s="1"/>
  <c r="S28" i="5"/>
  <c r="R28" i="5" s="1"/>
  <c r="S29" i="5"/>
  <c r="R29" i="5" s="1"/>
  <c r="S30" i="5"/>
  <c r="R30" i="5" s="1"/>
  <c r="S31" i="5"/>
  <c r="R31" i="5" s="1"/>
  <c r="S32" i="5"/>
  <c r="R32" i="5" s="1"/>
  <c r="S33" i="5"/>
  <c r="R33" i="5" s="1"/>
  <c r="S34" i="5"/>
  <c r="R34" i="5" s="1"/>
  <c r="O7" i="5"/>
  <c r="E7" i="5"/>
  <c r="M34" i="6" l="1"/>
  <c r="G42" i="6" s="1"/>
  <c r="Q21" i="5"/>
  <c r="Q19" i="5"/>
  <c r="N19" i="5" s="1"/>
  <c r="Q18" i="5"/>
  <c r="N18" i="5" s="1"/>
  <c r="Q20" i="5"/>
  <c r="N20" i="5" s="1"/>
  <c r="Q24" i="5"/>
  <c r="N24" i="5" s="1"/>
  <c r="Q25" i="5"/>
  <c r="N25" i="5" s="1"/>
  <c r="Q26" i="5"/>
  <c r="N26" i="5" s="1"/>
  <c r="Q27" i="5"/>
  <c r="O27" i="5" s="1"/>
  <c r="Q28" i="5"/>
  <c r="N28" i="5" s="1"/>
  <c r="Q29" i="5"/>
  <c r="O29" i="5" s="1"/>
  <c r="Q30" i="5"/>
  <c r="O30" i="5" s="1"/>
  <c r="Q31" i="5"/>
  <c r="O31" i="5" s="1"/>
  <c r="Q32" i="5"/>
  <c r="O32" i="5" s="1"/>
  <c r="Q33" i="5"/>
  <c r="O33" i="5" s="1"/>
  <c r="Q34" i="5"/>
  <c r="O34" i="5" s="1"/>
  <c r="Q23" i="5"/>
  <c r="Q22" i="5"/>
  <c r="N22" i="5" s="1"/>
  <c r="N21" i="5"/>
  <c r="G40" i="6"/>
  <c r="G44" i="6" l="1"/>
  <c r="G46" i="6" s="1"/>
  <c r="H42" i="6"/>
  <c r="N23" i="5"/>
  <c r="O23" i="5" s="1"/>
  <c r="N33" i="5"/>
  <c r="N27" i="5"/>
  <c r="N30" i="5"/>
  <c r="N32" i="5"/>
  <c r="N31" i="5"/>
  <c r="N29" i="5"/>
  <c r="N34" i="5"/>
  <c r="O36" i="5" s="1"/>
  <c r="O24" i="5"/>
  <c r="O25" i="5"/>
  <c r="O26" i="5"/>
  <c r="O18" i="5"/>
  <c r="O22" i="5"/>
  <c r="O20" i="5"/>
  <c r="O28" i="5"/>
  <c r="O21" i="5"/>
  <c r="O19" i="5" l="1"/>
  <c r="H44" i="5" l="1"/>
  <c r="I44" i="5"/>
  <c r="N36" i="5"/>
  <c r="H46" i="5" l="1"/>
  <c r="H48" i="5" s="1"/>
  <c r="R30" i="3" l="1"/>
  <c r="Q30" i="3"/>
  <c r="P30" i="3"/>
  <c r="O30" i="3"/>
  <c r="R29" i="3"/>
  <c r="Q29" i="3"/>
  <c r="P29" i="3"/>
  <c r="O29" i="3"/>
  <c r="R28" i="3"/>
  <c r="Q28" i="3"/>
  <c r="P28" i="3"/>
  <c r="O28" i="3"/>
  <c r="R27" i="3"/>
  <c r="Q27" i="3"/>
  <c r="P27" i="3"/>
  <c r="O27" i="3"/>
  <c r="R26" i="3"/>
  <c r="Q26" i="3"/>
  <c r="P26" i="3"/>
  <c r="O26" i="3"/>
  <c r="R25" i="3"/>
  <c r="Q25" i="3"/>
  <c r="P25" i="3"/>
  <c r="O25" i="3"/>
  <c r="R24" i="3"/>
  <c r="Q24" i="3"/>
  <c r="P24" i="3"/>
  <c r="O24" i="3"/>
  <c r="R23" i="3"/>
  <c r="Q23" i="3"/>
  <c r="P23" i="3"/>
  <c r="O23" i="3"/>
  <c r="R22" i="3"/>
  <c r="Q22" i="3"/>
  <c r="P22" i="3"/>
  <c r="O22" i="3"/>
  <c r="R21" i="3"/>
  <c r="Q21" i="3"/>
  <c r="P21" i="3"/>
  <c r="O21" i="3"/>
  <c r="S21" i="3" s="1"/>
  <c r="S23" i="3" l="1"/>
  <c r="S26" i="3"/>
  <c r="S29" i="3"/>
  <c r="S22" i="3"/>
  <c r="S25" i="3"/>
  <c r="S28" i="3"/>
  <c r="S30" i="3"/>
  <c r="S24" i="3"/>
  <c r="S27" i="3"/>
  <c r="Q32" i="3"/>
  <c r="P32" i="3"/>
  <c r="R32" i="3"/>
  <c r="O32" i="3"/>
  <c r="S32" i="3" l="1"/>
  <c r="H38" i="3" s="1"/>
  <c r="K48" i="3" l="1"/>
  <c r="K50" i="3" s="1"/>
  <c r="K52" i="3" s="1"/>
  <c r="M48" i="3" l="1"/>
  <c r="O3" i="2" l="1"/>
  <c r="O4" i="2"/>
  <c r="O5" i="2"/>
  <c r="O6" i="2"/>
  <c r="O7" i="2"/>
  <c r="O2" i="2"/>
  <c r="O8" i="2" l="1"/>
  <c r="N8" i="2" l="1"/>
  <c r="M3" i="2"/>
  <c r="M5" i="2"/>
  <c r="M2" i="2"/>
  <c r="L8" i="2"/>
  <c r="M6" i="2" s="1"/>
  <c r="M4" i="2" l="1"/>
  <c r="M7" i="2"/>
  <c r="M8" i="2" l="1"/>
</calcChain>
</file>

<file path=xl/sharedStrings.xml><?xml version="1.0" encoding="utf-8"?>
<sst xmlns="http://schemas.openxmlformats.org/spreadsheetml/2006/main" count="184" uniqueCount="95">
  <si>
    <t>INTERVALO_KM's</t>
  </si>
  <si>
    <t>TIPOLOGIA</t>
  </si>
  <si>
    <t>SCM</t>
  </si>
  <si>
    <t>CSTLS</t>
  </si>
  <si>
    <t>LLA</t>
  </si>
  <si>
    <t>SEDE</t>
  </si>
  <si>
    <t>CSTLT</t>
  </si>
  <si>
    <t>CSTC</t>
  </si>
  <si>
    <t>CSTP</t>
  </si>
  <si>
    <t>ATÉ 125 KM's</t>
  </si>
  <si>
    <t>DE 126 A 200 KM's</t>
  </si>
  <si>
    <t>DE 201 A 250 KM's</t>
  </si>
  <si>
    <t>DE 251 A 300 KM's</t>
  </si>
  <si>
    <t>DE 301 A 350 KM's</t>
  </si>
  <si>
    <t>DE 351 A 400 KM's</t>
  </si>
  <si>
    <t>DE 401 A 450 KM's</t>
  </si>
  <si>
    <t>DE 451 A 500 KM's</t>
  </si>
  <si>
    <t>DE 501 A 550 KM's</t>
  </si>
  <si>
    <t>DE 551 A 600 KM's</t>
  </si>
  <si>
    <t>T1</t>
  </si>
  <si>
    <t>T2</t>
  </si>
  <si>
    <t>T3</t>
  </si>
  <si>
    <t>T4</t>
  </si>
  <si>
    <t>8 LUGARES</t>
  </si>
  <si>
    <t>16 LUGARES</t>
  </si>
  <si>
    <t>21 LUGARES</t>
  </si>
  <si>
    <t>45 LUGARES</t>
  </si>
  <si>
    <t>INTERVALO DE KM's</t>
  </si>
  <si>
    <t>POS.</t>
  </si>
  <si>
    <t>TOTAL</t>
  </si>
  <si>
    <t>TOTAL:</t>
  </si>
  <si>
    <t>CORRETO</t>
  </si>
  <si>
    <t>VT_LIMITE</t>
  </si>
  <si>
    <t>VT - % (2023_4m)</t>
  </si>
  <si>
    <t>NUMÉRICO</t>
  </si>
  <si>
    <t>EXTENSO</t>
  </si>
  <si>
    <t>ANEXO II</t>
  </si>
  <si>
    <t>PREÇO TOTAL DA PROPOSTA</t>
  </si>
  <si>
    <t>CONCORRENTE</t>
  </si>
  <si>
    <t>DESIGNAÇÃO</t>
  </si>
  <si>
    <t>QUANTIDADE</t>
  </si>
  <si>
    <t>PREÇO UNITÁRIO DA PROPOSTA</t>
  </si>
  <si>
    <t>CENTRO DE SANGUE E DA TRANSPLANTAÇÃO DE COIMBRA (CSTC)</t>
  </si>
  <si>
    <t>ATRIBUTOS DA PROPOSTA</t>
  </si>
  <si>
    <t>AVALIAÇÃO DA PROPOSTA</t>
  </si>
  <si>
    <t>PREÇO DA PROPOSTA</t>
  </si>
  <si>
    <t>NIF</t>
  </si>
  <si>
    <t>TAXA DO IVA A APLICAR:</t>
  </si>
  <si>
    <t>IVA</t>
  </si>
  <si>
    <t>ISENTO</t>
  </si>
  <si>
    <t>PREÇO TOTAL DA PROPOSTA (PTP)</t>
  </si>
  <si>
    <t>VALOR TOTAL DA PROPOSTA SEM INCLUSÃO DO IVA:</t>
  </si>
  <si>
    <t>ATRIBUTO DA PROPOSTA - PTP:</t>
  </si>
  <si>
    <t>PREÇO BASE:</t>
  </si>
  <si>
    <t>PONDERAÇÃO DA PROPOSTA:</t>
  </si>
  <si>
    <t>PONDERAÇÃO BASE:</t>
  </si>
  <si>
    <t>PONTUAÇÃO DA PROPOSTA:</t>
  </si>
  <si>
    <t>IDADE DAS VIATURAS PROPOSTAS (IVP)</t>
  </si>
  <si>
    <t>VALOR BASE (Meses):</t>
  </si>
  <si>
    <t>ITEN</t>
  </si>
  <si>
    <t>PRP</t>
  </si>
  <si>
    <t>ASPETO FIXADO CADERNO ENCARGOS</t>
  </si>
  <si>
    <t>MATRÍCULA</t>
  </si>
  <si>
    <t>VIATURAS PROPOSTAS</t>
  </si>
  <si>
    <t>Nº</t>
  </si>
  <si>
    <t>DATA</t>
  </si>
  <si>
    <t>MARCA</t>
  </si>
  <si>
    <t>MODELO</t>
  </si>
  <si>
    <t>ATRIBUTO DA PROPOSTA</t>
  </si>
  <si>
    <t>MÊS ABERTURA PROPOSTAS:</t>
  </si>
  <si>
    <t>REFª</t>
  </si>
  <si>
    <t>MESES</t>
  </si>
  <si>
    <t>ATRIBUTO DA PROPOSTA - IVP:</t>
  </si>
  <si>
    <t>EXC</t>
  </si>
  <si>
    <t>TOTAL DA PROPOSTA:</t>
  </si>
  <si>
    <t>DATA MATRICULA</t>
  </si>
  <si>
    <r>
      <t xml:space="preserve">IDADE </t>
    </r>
    <r>
      <rPr>
        <b/>
        <i/>
        <sz val="11"/>
        <color theme="0"/>
        <rFont val="Calibri"/>
        <family val="2"/>
        <scheme val="minor"/>
      </rPr>
      <t>[MESES]</t>
    </r>
  </si>
  <si>
    <r>
      <t xml:space="preserve">MÉDIA </t>
    </r>
    <r>
      <rPr>
        <b/>
        <i/>
        <sz val="11"/>
        <color theme="0"/>
        <rFont val="Calibri"/>
        <family val="2"/>
        <scheme val="minor"/>
      </rPr>
      <t>[MESES]</t>
    </r>
  </si>
  <si>
    <t>CRITÉRIO ECOLÓGICO - VEÍCULOS ELÉTRICOS (CEVE)</t>
  </si>
  <si>
    <t>TIPO COMBUSTIVEL</t>
  </si>
  <si>
    <t>GASOLINA</t>
  </si>
  <si>
    <t>GASÓLEO</t>
  </si>
  <si>
    <t>GPL</t>
  </si>
  <si>
    <t>ELETRICIDADE</t>
  </si>
  <si>
    <t>TIPO DE COMBUSTIVEL</t>
  </si>
  <si>
    <t>PONTUAÇÃO</t>
  </si>
  <si>
    <t>MÁX</t>
  </si>
  <si>
    <t>PONTUAÇÃO MÁXIMA:</t>
  </si>
  <si>
    <t>pts</t>
  </si>
  <si>
    <t>ATRIBUTO DA PROPOSTA - CEVE:</t>
  </si>
  <si>
    <t>ATRIBUTO PRP</t>
  </si>
  <si>
    <t>ASPETO FIXADO CE</t>
  </si>
  <si>
    <t>joshua1968</t>
  </si>
  <si>
    <r>
      <t xml:space="preserve">CONCURSO PUBLICO INTERNACIONAL Nº 1900226
</t>
    </r>
    <r>
      <rPr>
        <b/>
        <i/>
        <sz val="20"/>
        <color theme="1"/>
        <rFont val="Calibri"/>
        <family val="2"/>
        <scheme val="minor"/>
      </rPr>
      <t>LOTE 2</t>
    </r>
  </si>
  <si>
    <t>HIBRIDO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</si>
</sst>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€&quot;"/>
    <numFmt numFmtId="165" formatCode="&quot;VIGÊNCIA: &quot;#0&quot; MESES&quot;"/>
    <numFmt numFmtId="166" formatCode="#,##0.000&quot; pts&quot;"/>
    <numFmt numFmtId="167" formatCode="0.000%"/>
    <numFmt numFmtId="168" formatCode="mm/yyyy"/>
    <numFmt numFmtId="169" formatCode="00&quot;-&quot;00&quot;-&quot;00"/>
    <numFmt numFmtId="170" formatCode="0.0"/>
    <numFmt numFmtId="171" formatCode="0.000&quot; pts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 tint="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/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4.9989318521683403E-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/>
      <top/>
      <bottom style="medium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6" borderId="7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8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168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16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16" fillId="0" borderId="16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8" fontId="13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1" fontId="21" fillId="6" borderId="7" xfId="0" applyNumberFormat="1" applyFont="1" applyFill="1" applyBorder="1" applyAlignment="1" applyProtection="1">
      <alignment horizontal="center" vertical="center" wrapText="1"/>
      <protection hidden="1"/>
    </xf>
    <xf numFmtId="170" fontId="21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20" fillId="6" borderId="7" xfId="0" applyFont="1" applyFill="1" applyBorder="1" applyAlignment="1" applyProtection="1">
      <alignment horizontal="center" vertical="center" wrapText="1"/>
      <protection hidden="1"/>
    </xf>
    <xf numFmtId="0" fontId="20" fillId="6" borderId="11" xfId="0" applyFont="1" applyFill="1" applyBorder="1" applyAlignment="1" applyProtection="1">
      <alignment horizontal="center" vertical="center" wrapText="1"/>
      <protection hidden="1"/>
    </xf>
    <xf numFmtId="3" fontId="20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0" fontId="30" fillId="10" borderId="12" xfId="0" applyNumberFormat="1" applyFont="1" applyFill="1" applyBorder="1" applyAlignment="1" applyProtection="1">
      <alignment horizontal="center" vertical="center" wrapText="1"/>
      <protection hidden="1"/>
    </xf>
    <xf numFmtId="170" fontId="30" fillId="10" borderId="12" xfId="0" applyNumberFormat="1" applyFont="1" applyFill="1" applyBorder="1" applyAlignment="1" applyProtection="1">
      <alignment horizontal="center" vertical="center" wrapText="1"/>
      <protection hidden="1"/>
    </xf>
    <xf numFmtId="170" fontId="30" fillId="9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wrapText="1"/>
      <protection hidden="1"/>
    </xf>
    <xf numFmtId="169" fontId="1" fillId="6" borderId="7" xfId="0" applyNumberFormat="1" applyFont="1" applyFill="1" applyBorder="1" applyAlignment="1" applyProtection="1">
      <alignment horizontal="center" vertical="center" wrapText="1"/>
      <protection hidden="1"/>
    </xf>
    <xf numFmtId="168" fontId="1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7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64" fontId="3" fillId="6" borderId="3" xfId="0" applyNumberFormat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wrapText="1"/>
    </xf>
    <xf numFmtId="0" fontId="31" fillId="0" borderId="0" xfId="0" applyFont="1" applyAlignment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  <protection locked="0" hidden="1"/>
    </xf>
    <xf numFmtId="3" fontId="20" fillId="7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36" xfId="0" applyFont="1" applyBorder="1" applyAlignment="1" applyProtection="1">
      <alignment horizontal="center" vertical="center" wrapText="1"/>
      <protection hidden="1"/>
    </xf>
    <xf numFmtId="14" fontId="20" fillId="0" borderId="37" xfId="0" applyNumberFormat="1" applyFont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wrapText="1"/>
      <protection hidden="1"/>
    </xf>
    <xf numFmtId="0" fontId="4" fillId="0" borderId="33" xfId="0" applyFont="1" applyBorder="1" applyAlignment="1" applyProtection="1">
      <alignment horizontal="center" wrapText="1"/>
      <protection hidden="1"/>
    </xf>
    <xf numFmtId="0" fontId="4" fillId="0" borderId="34" xfId="0" applyFont="1" applyBorder="1" applyAlignment="1" applyProtection="1">
      <alignment horizontal="center" wrapText="1"/>
      <protection hidden="1"/>
    </xf>
    <xf numFmtId="0" fontId="18" fillId="8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165" fontId="22" fillId="0" borderId="0" xfId="0" applyNumberFormat="1" applyFont="1" applyAlignment="1" applyProtection="1">
      <alignment horizontal="center" vertical="center" wrapText="1"/>
      <protection hidden="1"/>
    </xf>
    <xf numFmtId="165" fontId="25" fillId="0" borderId="13" xfId="0" applyNumberFormat="1" applyFont="1" applyBorder="1" applyAlignment="1" applyProtection="1">
      <alignment horizontal="center" vertical="center" wrapText="1"/>
      <protection hidden="1"/>
    </xf>
    <xf numFmtId="165" fontId="25" fillId="0" borderId="14" xfId="0" applyNumberFormat="1" applyFont="1" applyBorder="1" applyAlignment="1" applyProtection="1">
      <alignment horizontal="center" vertical="center" wrapText="1"/>
      <protection hidden="1"/>
    </xf>
    <xf numFmtId="165" fontId="25" fillId="0" borderId="15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" fillId="3" borderId="12" xfId="0" applyFont="1" applyFill="1" applyBorder="1" applyAlignment="1" applyProtection="1">
      <alignment horizontal="left" vertical="center" wrapText="1"/>
      <protection hidden="1"/>
    </xf>
    <xf numFmtId="0" fontId="29" fillId="0" borderId="21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171" fontId="30" fillId="9" borderId="13" xfId="0" applyNumberFormat="1" applyFont="1" applyFill="1" applyBorder="1" applyAlignment="1" applyProtection="1">
      <alignment horizontal="center" vertical="center" wrapText="1"/>
      <protection hidden="1"/>
    </xf>
    <xf numFmtId="171" fontId="30" fillId="9" borderId="15" xfId="0" applyNumberFormat="1" applyFont="1" applyFill="1" applyBorder="1" applyAlignment="1" applyProtection="1">
      <alignment horizontal="center" vertical="center" wrapText="1"/>
      <protection hidden="1"/>
    </xf>
    <xf numFmtId="167" fontId="27" fillId="9" borderId="13" xfId="0" applyNumberFormat="1" applyFont="1" applyFill="1" applyBorder="1" applyAlignment="1" applyProtection="1">
      <alignment horizontal="center" vertical="center" wrapText="1"/>
      <protection hidden="1"/>
    </xf>
    <xf numFmtId="167" fontId="27" fillId="9" borderId="1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7" fillId="11" borderId="8" xfId="0" applyFont="1" applyFill="1" applyBorder="1" applyAlignment="1" applyProtection="1">
      <alignment horizontal="center" vertical="center" wrapText="1"/>
      <protection hidden="1"/>
    </xf>
    <xf numFmtId="0" fontId="7" fillId="11" borderId="17" xfId="0" applyFont="1" applyFill="1" applyBorder="1" applyAlignment="1" applyProtection="1">
      <alignment horizontal="center" vertical="center" wrapText="1"/>
      <protection hidden="1"/>
    </xf>
    <xf numFmtId="0" fontId="13" fillId="2" borderId="18" xfId="0" applyFont="1" applyFill="1" applyBorder="1" applyAlignment="1" applyProtection="1">
      <alignment horizontal="right"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0" fontId="13" fillId="2" borderId="30" xfId="0" applyFont="1" applyFill="1" applyBorder="1" applyAlignment="1" applyProtection="1">
      <alignment horizontal="right" vertical="center" wrapText="1"/>
      <protection hidden="1"/>
    </xf>
    <xf numFmtId="0" fontId="20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13" fillId="2" borderId="26" xfId="0" applyFont="1" applyFill="1" applyBorder="1" applyAlignment="1" applyProtection="1">
      <alignment horizontal="center" vertical="center" wrapText="1"/>
      <protection hidden="1"/>
    </xf>
    <xf numFmtId="0" fontId="13" fillId="2" borderId="28" xfId="0" applyFont="1" applyFill="1" applyBorder="1" applyAlignment="1" applyProtection="1">
      <alignment horizontal="center" vertical="center" wrapText="1"/>
      <protection hidden="1"/>
    </xf>
    <xf numFmtId="0" fontId="13" fillId="2" borderId="27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165" fontId="25" fillId="0" borderId="13" xfId="0" applyNumberFormat="1" applyFont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 wrapText="1"/>
    </xf>
    <xf numFmtId="165" fontId="25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8" fillId="8" borderId="0" xfId="0" applyFont="1" applyFill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9" fontId="20" fillId="4" borderId="13" xfId="0" applyNumberFormat="1" applyFont="1" applyFill="1" applyBorder="1" applyAlignment="1" applyProtection="1">
      <alignment horizontal="center" wrapText="1"/>
      <protection locked="0"/>
    </xf>
    <xf numFmtId="9" fontId="20" fillId="4" borderId="14" xfId="0" applyNumberFormat="1" applyFont="1" applyFill="1" applyBorder="1" applyAlignment="1" applyProtection="1">
      <alignment horizontal="center" wrapText="1"/>
      <protection locked="0"/>
    </xf>
    <xf numFmtId="9" fontId="20" fillId="4" borderId="15" xfId="0" applyNumberFormat="1" applyFont="1" applyFill="1" applyBorder="1" applyAlignment="1" applyProtection="1">
      <alignment horizontal="center" wrapText="1"/>
      <protection locked="0"/>
    </xf>
    <xf numFmtId="166" fontId="30" fillId="9" borderId="23" xfId="0" applyNumberFormat="1" applyFont="1" applyFill="1" applyBorder="1" applyAlignment="1">
      <alignment horizontal="center" vertical="center" wrapText="1"/>
    </xf>
    <xf numFmtId="166" fontId="30" fillId="9" borderId="24" xfId="0" applyNumberFormat="1" applyFont="1" applyFill="1" applyBorder="1" applyAlignment="1">
      <alignment horizontal="center" vertical="center" wrapText="1"/>
    </xf>
    <xf numFmtId="164" fontId="24" fillId="10" borderId="23" xfId="0" applyNumberFormat="1" applyFont="1" applyFill="1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 wrapText="1"/>
    </xf>
    <xf numFmtId="167" fontId="27" fillId="9" borderId="23" xfId="0" applyNumberFormat="1" applyFont="1" applyFill="1" applyBorder="1" applyAlignment="1">
      <alignment horizontal="center" vertical="center" wrapText="1"/>
    </xf>
    <xf numFmtId="167" fontId="27" fillId="9" borderId="24" xfId="0" applyNumberFormat="1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0" fontId="24" fillId="10" borderId="23" xfId="0" applyNumberFormat="1" applyFont="1" applyFill="1" applyBorder="1" applyAlignment="1">
      <alignment horizontal="center" vertical="center" wrapText="1"/>
    </xf>
    <xf numFmtId="10" fontId="24" fillId="10" borderId="24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wrapText="1"/>
    </xf>
    <xf numFmtId="164" fontId="30" fillId="9" borderId="23" xfId="0" applyNumberFormat="1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 wrapText="1"/>
    </xf>
    <xf numFmtId="164" fontId="24" fillId="2" borderId="19" xfId="0" applyNumberFormat="1" applyFont="1" applyFill="1" applyBorder="1" applyAlignment="1">
      <alignment horizontal="center" vertical="center" wrapText="1"/>
    </xf>
    <xf numFmtId="164" fontId="24" fillId="2" borderId="22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</cellXfs>
  <cellStyles count="1">
    <cellStyle name="Normal" xfId="0" builtinId="0"/>
  </cellStyles>
  <dxfs count="21"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 val="0"/>
        <i val="0"/>
        <color theme="0" tint="-4.9989318521683403E-2"/>
      </font>
      <fill>
        <patternFill patternType="solid">
          <bgColor theme="0" tint="-4.9989318521683403E-2"/>
        </patternFill>
      </fill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color theme="0" tint="-4.9989318521683403E-2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3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609600</xdr:colOff>
      <xdr:row>1</xdr:row>
      <xdr:rowOff>57150</xdr:rowOff>
    </xdr:from>
    <xdr:to>
      <xdr:col>20</xdr:col>
      <xdr:colOff>108587</xdr:colOff>
      <xdr:row>1</xdr:row>
      <xdr:rowOff>514350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DB53A9-6F09-9CE2-A297-0939FA08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125200" y="161925"/>
          <a:ext cx="2499362" cy="45720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1</xdr:row>
      <xdr:rowOff>66675</xdr:rowOff>
    </xdr:from>
    <xdr:to>
      <xdr:col>19</xdr:col>
      <xdr:colOff>114300</xdr:colOff>
      <xdr:row>1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3B05A-BC1F-41F3-A6ED-2173F6F2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20025" y="171450"/>
          <a:ext cx="2438400" cy="45720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3125-EAB0-45AF-80A4-0CC94A9EA4AF}">
  <dimension ref="A1:T12"/>
  <sheetViews>
    <sheetView showGridLines="0" workbookViewId="0">
      <selection activeCell="S6" sqref="S6"/>
    </sheetView>
  </sheetViews>
  <sheetFormatPr defaultRowHeight="12.75" x14ac:dyDescent="0.25"/>
  <cols>
    <col min="1" max="1" width="9.140625" style="1"/>
    <col min="2" max="2" width="8.140625" style="1" customWidth="1"/>
    <col min="3" max="3" width="1" style="1" customWidth="1"/>
    <col min="4" max="4" width="23.140625" style="1" customWidth="1"/>
    <col min="5" max="5" width="9" style="1" customWidth="1"/>
    <col min="6" max="6" width="1.28515625" style="1" customWidth="1"/>
    <col min="7" max="7" width="6.42578125" style="1" customWidth="1"/>
    <col min="8" max="8" width="7.42578125" style="1" customWidth="1"/>
    <col min="9" max="9" width="31.7109375" style="1" customWidth="1"/>
    <col min="10" max="10" width="1.42578125" style="1" customWidth="1"/>
    <col min="11" max="11" width="9.140625" style="1"/>
    <col min="12" max="12" width="13" style="1" customWidth="1"/>
    <col min="13" max="13" width="11.7109375" style="1" customWidth="1"/>
    <col min="14" max="14" width="11.140625" style="1" customWidth="1"/>
    <col min="15" max="15" width="12.85546875" style="1" customWidth="1"/>
    <col min="16" max="16" width="1" style="1" customWidth="1"/>
    <col min="17" max="17" width="12.28515625" style="1" customWidth="1"/>
    <col min="18" max="18" width="0.7109375" style="1" customWidth="1"/>
    <col min="19" max="19" width="23.42578125" style="1" customWidth="1"/>
    <col min="20" max="20" width="12.85546875" style="1" customWidth="1"/>
    <col min="21" max="16384" width="9.140625" style="1"/>
  </cols>
  <sheetData>
    <row r="1" spans="1:20" s="6" customFormat="1" x14ac:dyDescent="0.2">
      <c r="A1" s="129" t="s">
        <v>2</v>
      </c>
      <c r="B1" s="129"/>
      <c r="D1" s="130" t="s">
        <v>0</v>
      </c>
      <c r="E1" s="131"/>
      <c r="G1" s="127" t="s">
        <v>1</v>
      </c>
      <c r="H1" s="128"/>
      <c r="I1" s="128"/>
      <c r="K1" s="129" t="s">
        <v>33</v>
      </c>
      <c r="L1" s="129"/>
      <c r="M1" s="129"/>
      <c r="N1" s="69" t="s">
        <v>31</v>
      </c>
      <c r="O1" s="69" t="s">
        <v>32</v>
      </c>
      <c r="Q1" s="6" t="s">
        <v>48</v>
      </c>
      <c r="S1" s="6" t="s">
        <v>79</v>
      </c>
      <c r="T1" s="83" t="s">
        <v>92</v>
      </c>
    </row>
    <row r="2" spans="1:20" x14ac:dyDescent="0.25">
      <c r="A2" s="70" t="s">
        <v>3</v>
      </c>
      <c r="B2" s="71">
        <v>1</v>
      </c>
      <c r="D2" s="72" t="s">
        <v>9</v>
      </c>
      <c r="E2" s="73">
        <v>11</v>
      </c>
      <c r="G2" s="73" t="s">
        <v>19</v>
      </c>
      <c r="H2" s="73">
        <v>111</v>
      </c>
      <c r="I2" s="72" t="s">
        <v>23</v>
      </c>
      <c r="K2" s="70" t="s">
        <v>4</v>
      </c>
      <c r="L2" s="74"/>
      <c r="M2" s="75" t="str">
        <f>IF(L2=0,"",L2/$L$8)</f>
        <v/>
      </c>
      <c r="N2" s="76"/>
      <c r="O2" s="77" t="str">
        <f>IF(N2=0,"",$L$10*N2)</f>
        <v/>
      </c>
      <c r="Q2" s="70" t="s">
        <v>49</v>
      </c>
      <c r="S2" s="70" t="s">
        <v>80</v>
      </c>
      <c r="T2" s="83"/>
    </row>
    <row r="3" spans="1:20" x14ac:dyDescent="0.25">
      <c r="A3" s="70" t="s">
        <v>7</v>
      </c>
      <c r="B3" s="71">
        <v>2</v>
      </c>
      <c r="D3" s="72" t="s">
        <v>10</v>
      </c>
      <c r="E3" s="73">
        <v>12</v>
      </c>
      <c r="G3" s="73" t="s">
        <v>20</v>
      </c>
      <c r="H3" s="73">
        <v>222</v>
      </c>
      <c r="I3" s="72" t="s">
        <v>24</v>
      </c>
      <c r="K3" s="70" t="s">
        <v>5</v>
      </c>
      <c r="L3" s="74"/>
      <c r="M3" s="75" t="str">
        <f t="shared" ref="M3:M7" si="0">IF(L3=0,"",L3/$L$8)</f>
        <v/>
      </c>
      <c r="N3" s="76"/>
      <c r="O3" s="77" t="str">
        <f t="shared" ref="O3:O7" si="1">IF(N3=0,"",$L$10*N3)</f>
        <v/>
      </c>
      <c r="Q3" s="78">
        <v>0.06</v>
      </c>
      <c r="S3" s="70" t="s">
        <v>81</v>
      </c>
    </row>
    <row r="4" spans="1:20" x14ac:dyDescent="0.25">
      <c r="A4" s="70" t="s">
        <v>8</v>
      </c>
      <c r="B4" s="71">
        <v>3</v>
      </c>
      <c r="D4" s="72" t="s">
        <v>11</v>
      </c>
      <c r="E4" s="73">
        <v>22</v>
      </c>
      <c r="G4" s="73" t="s">
        <v>21</v>
      </c>
      <c r="H4" s="73">
        <v>333</v>
      </c>
      <c r="I4" s="72" t="s">
        <v>25</v>
      </c>
      <c r="K4" s="70" t="s">
        <v>3</v>
      </c>
      <c r="L4" s="79">
        <v>86476</v>
      </c>
      <c r="M4" s="75">
        <f t="shared" si="0"/>
        <v>0.15410249145072966</v>
      </c>
      <c r="N4" s="76">
        <v>0.17</v>
      </c>
      <c r="O4" s="77">
        <f t="shared" si="1"/>
        <v>84745</v>
      </c>
      <c r="Q4" s="78">
        <v>0.13</v>
      </c>
      <c r="S4" s="70" t="s">
        <v>82</v>
      </c>
    </row>
    <row r="5" spans="1:20" x14ac:dyDescent="0.25">
      <c r="A5" s="70"/>
      <c r="B5" s="71">
        <v>4</v>
      </c>
      <c r="D5" s="72" t="s">
        <v>12</v>
      </c>
      <c r="E5" s="73">
        <v>23</v>
      </c>
      <c r="G5" s="73" t="s">
        <v>22</v>
      </c>
      <c r="H5" s="73">
        <v>444</v>
      </c>
      <c r="I5" s="72" t="s">
        <v>26</v>
      </c>
      <c r="K5" s="70" t="s">
        <v>6</v>
      </c>
      <c r="L5" s="74"/>
      <c r="M5" s="75" t="str">
        <f t="shared" si="0"/>
        <v/>
      </c>
      <c r="N5" s="76"/>
      <c r="O5" s="77" t="str">
        <f t="shared" si="1"/>
        <v/>
      </c>
      <c r="Q5" s="78">
        <v>0.23</v>
      </c>
      <c r="S5" s="70" t="s">
        <v>83</v>
      </c>
    </row>
    <row r="6" spans="1:20" x14ac:dyDescent="0.25">
      <c r="A6" s="70"/>
      <c r="B6" s="71">
        <v>5</v>
      </c>
      <c r="D6" s="72" t="s">
        <v>13</v>
      </c>
      <c r="E6" s="73">
        <v>33</v>
      </c>
      <c r="G6" s="73"/>
      <c r="H6" s="73"/>
      <c r="I6" s="72"/>
      <c r="K6" s="70" t="s">
        <v>7</v>
      </c>
      <c r="L6" s="79">
        <v>285497</v>
      </c>
      <c r="M6" s="75">
        <f t="shared" si="0"/>
        <v>0.50876311348476988</v>
      </c>
      <c r="N6" s="76">
        <v>0.48</v>
      </c>
      <c r="O6" s="77">
        <f t="shared" si="1"/>
        <v>239280</v>
      </c>
      <c r="Q6" s="78"/>
      <c r="S6" s="70" t="s">
        <v>94</v>
      </c>
    </row>
    <row r="7" spans="1:20" x14ac:dyDescent="0.25">
      <c r="A7" s="70"/>
      <c r="B7" s="71">
        <v>6</v>
      </c>
      <c r="D7" s="72" t="s">
        <v>14</v>
      </c>
      <c r="E7" s="73">
        <v>34</v>
      </c>
      <c r="G7" s="73"/>
      <c r="H7" s="73"/>
      <c r="I7" s="72"/>
      <c r="K7" s="70" t="s">
        <v>8</v>
      </c>
      <c r="L7" s="79">
        <v>189186</v>
      </c>
      <c r="M7" s="75">
        <f t="shared" si="0"/>
        <v>0.33713439506450044</v>
      </c>
      <c r="N7" s="76">
        <v>0.35</v>
      </c>
      <c r="O7" s="77">
        <f t="shared" si="1"/>
        <v>174475</v>
      </c>
      <c r="S7" s="70"/>
    </row>
    <row r="8" spans="1:20" x14ac:dyDescent="0.25">
      <c r="A8" s="70"/>
      <c r="B8" s="71"/>
      <c r="D8" s="72" t="s">
        <v>15</v>
      </c>
      <c r="E8" s="73">
        <v>44</v>
      </c>
      <c r="K8" s="80" t="s">
        <v>29</v>
      </c>
      <c r="L8" s="77">
        <f>SUM(L2:L7)</f>
        <v>561159</v>
      </c>
      <c r="M8" s="75">
        <f>SUM(M2:M7)</f>
        <v>1</v>
      </c>
      <c r="N8" s="75">
        <f>SUM(N2:N7)</f>
        <v>1</v>
      </c>
      <c r="O8" s="81">
        <f>SUM(O2:O7)</f>
        <v>498500</v>
      </c>
      <c r="S8" s="70"/>
    </row>
    <row r="9" spans="1:20" x14ac:dyDescent="0.25">
      <c r="D9" s="72" t="s">
        <v>16</v>
      </c>
      <c r="E9" s="73">
        <v>45</v>
      </c>
      <c r="S9" s="70"/>
    </row>
    <row r="10" spans="1:20" x14ac:dyDescent="0.2">
      <c r="D10" s="72" t="s">
        <v>17</v>
      </c>
      <c r="E10" s="73">
        <v>55</v>
      </c>
      <c r="K10" s="82" t="s">
        <v>31</v>
      </c>
      <c r="L10" s="74">
        <v>498500</v>
      </c>
      <c r="S10" s="70"/>
    </row>
    <row r="11" spans="1:20" x14ac:dyDescent="0.25">
      <c r="D11" s="72" t="s">
        <v>18</v>
      </c>
      <c r="E11" s="73">
        <v>56</v>
      </c>
      <c r="S11" s="70"/>
    </row>
    <row r="12" spans="1:20" x14ac:dyDescent="0.25">
      <c r="D12" s="72"/>
      <c r="E12" s="73"/>
    </row>
  </sheetData>
  <sheetProtection algorithmName="SHA-512" hashValue="hkwpFGaFi+n+lUDpvADBMekPv2qLh+o7Bcno5xKelr6fQBVwn2EtB9EJoFdnO5bzKU6r+o1Pl9pa74a1x7Ndpg==" saltValue="EIL3D99cuCd4Atwf5J7XhA==" spinCount="100000" sheet="1" objects="1" scenarios="1"/>
  <mergeCells count="4">
    <mergeCell ref="G1:I1"/>
    <mergeCell ref="K1:M1"/>
    <mergeCell ref="D1:E1"/>
    <mergeCell ref="A1:B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FF16-E516-4EBC-9883-EB1D71719B42}">
  <dimension ref="C1:S64"/>
  <sheetViews>
    <sheetView showGridLines="0" tabSelected="1" workbookViewId="0">
      <pane ySplit="8" topLeftCell="A14" activePane="bottomLeft" state="frozen"/>
      <selection pane="bottomLeft" activeCell="E7" sqref="E7:Q7"/>
    </sheetView>
  </sheetViews>
  <sheetFormatPr defaultRowHeight="12.75" x14ac:dyDescent="0.25"/>
  <cols>
    <col min="1" max="1" width="2.28515625" style="1" customWidth="1"/>
    <col min="2" max="2" width="0.85546875" style="1" customWidth="1"/>
    <col min="3" max="3" width="6.140625" style="1" customWidth="1"/>
    <col min="4" max="4" width="24.42578125" style="1" bestFit="1" customWidth="1"/>
    <col min="5" max="8" width="10.7109375" style="1" customWidth="1"/>
    <col min="9" max="9" width="0.42578125" style="1" customWidth="1"/>
    <col min="10" max="13" width="12.7109375" style="1" customWidth="1"/>
    <col min="14" max="14" width="0.42578125" style="1" customWidth="1"/>
    <col min="15" max="19" width="14.7109375" style="1" customWidth="1"/>
    <col min="20" max="20" width="0.85546875" style="1" customWidth="1"/>
    <col min="21" max="21" width="9.140625" style="1" customWidth="1"/>
    <col min="22" max="16384" width="9.140625" style="1"/>
  </cols>
  <sheetData>
    <row r="1" spans="3:19" ht="8.25" customHeight="1" x14ac:dyDescent="0.25"/>
    <row r="2" spans="3:19" ht="47.1" customHeight="1" x14ac:dyDescent="0.25">
      <c r="C2" s="133" t="s">
        <v>93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3:19" s="24" customFormat="1" ht="26.25" x14ac:dyDescent="0.25">
      <c r="C3" s="132" t="s">
        <v>36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3:19" ht="23.25" x14ac:dyDescent="0.25">
      <c r="C4" s="143" t="s">
        <v>50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5"/>
    </row>
    <row r="5" spans="3:19" ht="3.7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3:19" s="4" customFormat="1" ht="12.75" customHeight="1" x14ac:dyDescent="0.2">
      <c r="C6" s="3"/>
      <c r="D6" s="3"/>
      <c r="E6" s="151" t="s">
        <v>39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 t="s">
        <v>46</v>
      </c>
      <c r="S6" s="152"/>
    </row>
    <row r="7" spans="3:19" s="5" customFormat="1" ht="15" x14ac:dyDescent="0.25">
      <c r="C7" s="146" t="s">
        <v>38</v>
      </c>
      <c r="D7" s="14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50"/>
      <c r="R7" s="148"/>
      <c r="S7" s="150"/>
    </row>
    <row r="8" spans="3:19" ht="17.25" customHeight="1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3.25" x14ac:dyDescent="0.25">
      <c r="C9" s="147" t="s">
        <v>43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  <row r="10" spans="3:19" ht="5.25" customHeight="1" x14ac:dyDescent="0.25"/>
    <row r="11" spans="3:19" ht="18.75" x14ac:dyDescent="0.3">
      <c r="C11" s="153" t="s">
        <v>45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</row>
    <row r="12" spans="3:19" ht="9.9499999999999993" customHeight="1" x14ac:dyDescent="0.25"/>
    <row r="13" spans="3:19" ht="18.75" x14ac:dyDescent="0.25">
      <c r="C13" s="155" t="s">
        <v>42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</row>
    <row r="14" spans="3:19" ht="5.25" customHeight="1" x14ac:dyDescent="0.25"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</row>
    <row r="15" spans="3:19" ht="12.75" customHeight="1" thickBot="1" x14ac:dyDescent="0.25">
      <c r="C15" s="173" t="s">
        <v>91</v>
      </c>
      <c r="D15" s="173"/>
      <c r="E15" s="135" t="s">
        <v>40</v>
      </c>
      <c r="F15" s="135"/>
      <c r="G15" s="135"/>
      <c r="H15" s="135"/>
      <c r="I15" s="16"/>
      <c r="J15" s="135" t="s">
        <v>41</v>
      </c>
      <c r="K15" s="135"/>
      <c r="L15" s="135"/>
      <c r="M15" s="135"/>
      <c r="N15" s="16"/>
      <c r="O15" s="135" t="s">
        <v>45</v>
      </c>
      <c r="P15" s="135"/>
      <c r="Q15" s="135"/>
      <c r="R15" s="135"/>
      <c r="S15" s="135"/>
    </row>
    <row r="16" spans="3:19" ht="4.5" customHeight="1" x14ac:dyDescent="0.2">
      <c r="C16" s="136"/>
      <c r="D16" s="138"/>
      <c r="E16" s="136"/>
      <c r="F16" s="137"/>
      <c r="G16" s="137"/>
      <c r="H16" s="138"/>
      <c r="I16" s="16"/>
      <c r="J16" s="136"/>
      <c r="K16" s="137"/>
      <c r="L16" s="137"/>
      <c r="M16" s="138"/>
      <c r="N16" s="16"/>
      <c r="O16" s="136"/>
      <c r="P16" s="137"/>
      <c r="Q16" s="137"/>
      <c r="R16" s="137"/>
      <c r="S16" s="138"/>
    </row>
    <row r="17" spans="3:19" ht="3.75" customHeight="1" x14ac:dyDescent="0.25"/>
    <row r="18" spans="3:19" s="8" customFormat="1" ht="15.75" x14ac:dyDescent="0.25">
      <c r="C18" s="139" t="s">
        <v>28</v>
      </c>
      <c r="D18" s="139" t="s">
        <v>27</v>
      </c>
      <c r="E18" s="142" t="s">
        <v>1</v>
      </c>
      <c r="F18" s="142"/>
      <c r="G18" s="142"/>
      <c r="H18" s="142"/>
      <c r="I18" s="1"/>
      <c r="J18" s="142" t="s">
        <v>1</v>
      </c>
      <c r="K18" s="142"/>
      <c r="L18" s="142"/>
      <c r="M18" s="142"/>
      <c r="N18" s="1"/>
      <c r="O18" s="159" t="s">
        <v>1</v>
      </c>
      <c r="P18" s="159"/>
      <c r="Q18" s="159"/>
      <c r="R18" s="159"/>
      <c r="S18" s="159" t="s">
        <v>29</v>
      </c>
    </row>
    <row r="19" spans="3:19" s="8" customFormat="1" ht="15.75" x14ac:dyDescent="0.25">
      <c r="C19" s="140"/>
      <c r="D19" s="140"/>
      <c r="E19" s="7" t="s">
        <v>19</v>
      </c>
      <c r="F19" s="7" t="s">
        <v>20</v>
      </c>
      <c r="G19" s="7" t="s">
        <v>21</v>
      </c>
      <c r="H19" s="7" t="s">
        <v>22</v>
      </c>
      <c r="I19" s="1"/>
      <c r="J19" s="7" t="s">
        <v>19</v>
      </c>
      <c r="K19" s="7" t="s">
        <v>20</v>
      </c>
      <c r="L19" s="7" t="s">
        <v>21</v>
      </c>
      <c r="M19" s="7" t="s">
        <v>22</v>
      </c>
      <c r="N19" s="1"/>
      <c r="O19" s="21" t="s">
        <v>19</v>
      </c>
      <c r="P19" s="21" t="s">
        <v>20</v>
      </c>
      <c r="Q19" s="21" t="s">
        <v>21</v>
      </c>
      <c r="R19" s="21" t="s">
        <v>22</v>
      </c>
      <c r="S19" s="159"/>
    </row>
    <row r="20" spans="3:19" s="8" customFormat="1" ht="15.75" x14ac:dyDescent="0.25">
      <c r="C20" s="141"/>
      <c r="D20" s="141"/>
      <c r="E20" s="15" t="s">
        <v>23</v>
      </c>
      <c r="F20" s="15" t="s">
        <v>24</v>
      </c>
      <c r="G20" s="15" t="s">
        <v>25</v>
      </c>
      <c r="H20" s="15" t="s">
        <v>26</v>
      </c>
      <c r="I20" s="1"/>
      <c r="J20" s="15" t="s">
        <v>23</v>
      </c>
      <c r="K20" s="15" t="s">
        <v>24</v>
      </c>
      <c r="L20" s="15" t="s">
        <v>25</v>
      </c>
      <c r="M20" s="15" t="s">
        <v>26</v>
      </c>
      <c r="N20" s="1"/>
      <c r="O20" s="22" t="s">
        <v>23</v>
      </c>
      <c r="P20" s="22" t="s">
        <v>24</v>
      </c>
      <c r="Q20" s="22" t="s">
        <v>25</v>
      </c>
      <c r="R20" s="22" t="s">
        <v>26</v>
      </c>
      <c r="S20" s="159"/>
    </row>
    <row r="21" spans="3:19" s="8" customFormat="1" ht="15" customHeight="1" x14ac:dyDescent="0.25">
      <c r="C21" s="9">
        <v>1</v>
      </c>
      <c r="D21" s="10" t="s">
        <v>9</v>
      </c>
      <c r="E21" s="11">
        <v>199</v>
      </c>
      <c r="F21" s="11"/>
      <c r="G21" s="11"/>
      <c r="H21" s="11">
        <v>10</v>
      </c>
      <c r="I21" s="1"/>
      <c r="J21" s="17"/>
      <c r="K21" s="17"/>
      <c r="L21" s="17"/>
      <c r="M21" s="17"/>
      <c r="N21" s="1"/>
      <c r="O21" s="19" t="str">
        <f>IF($E$7=0,"",IF($R$7=0,"",IF(J21=0,"",E21*J21)))</f>
        <v/>
      </c>
      <c r="P21" s="19" t="str">
        <f t="shared" ref="P21:P30" si="0">IF($E$7=0,"",IF($R$7=0,"",IF(K21=0,"",F21*K21)))</f>
        <v/>
      </c>
      <c r="Q21" s="19" t="str">
        <f t="shared" ref="Q21:Q30" si="1">IF($E$7=0,"",IF($R$7=0,"",IF(L21=0,"",G21*L21)))</f>
        <v/>
      </c>
      <c r="R21" s="19" t="str">
        <f t="shared" ref="R21:R30" si="2">IF($E$7=0,"",IF($R$7=0,"",IF(M21=0,"",H21*M21)))</f>
        <v/>
      </c>
      <c r="S21" s="20" t="str">
        <f>IF(COUNTBLANK($J21:$M21)&gt;0,"",SUM($O21:$R21))</f>
        <v/>
      </c>
    </row>
    <row r="22" spans="3:19" s="8" customFormat="1" ht="15" customHeight="1" x14ac:dyDescent="0.25">
      <c r="C22" s="9">
        <v>2</v>
      </c>
      <c r="D22" s="10" t="s">
        <v>10</v>
      </c>
      <c r="E22" s="11">
        <v>501</v>
      </c>
      <c r="F22" s="11"/>
      <c r="G22" s="11"/>
      <c r="H22" s="11">
        <v>39</v>
      </c>
      <c r="I22" s="1"/>
      <c r="J22" s="17"/>
      <c r="K22" s="17"/>
      <c r="L22" s="17"/>
      <c r="M22" s="17"/>
      <c r="N22" s="1"/>
      <c r="O22" s="19" t="str">
        <f t="shared" ref="O22:O30" si="3">IF($E$7=0,"",IF($R$7=0,"",IF(J22=0,"",E22*J22)))</f>
        <v/>
      </c>
      <c r="P22" s="19" t="str">
        <f t="shared" si="0"/>
        <v/>
      </c>
      <c r="Q22" s="19" t="str">
        <f t="shared" si="1"/>
        <v/>
      </c>
      <c r="R22" s="19" t="str">
        <f t="shared" si="2"/>
        <v/>
      </c>
      <c r="S22" s="20" t="str">
        <f t="shared" ref="S22:S30" si="4">IF(COUNTBLANK($J22:$M22)&gt;0,"",SUM($O22:$R22))</f>
        <v/>
      </c>
    </row>
    <row r="23" spans="3:19" s="8" customFormat="1" ht="15" customHeight="1" x14ac:dyDescent="0.25">
      <c r="C23" s="9">
        <v>3</v>
      </c>
      <c r="D23" s="10" t="s">
        <v>11</v>
      </c>
      <c r="E23" s="11">
        <v>1315</v>
      </c>
      <c r="F23" s="11"/>
      <c r="G23" s="11"/>
      <c r="H23" s="11">
        <v>119</v>
      </c>
      <c r="I23" s="1"/>
      <c r="J23" s="17"/>
      <c r="K23" s="17"/>
      <c r="L23" s="17"/>
      <c r="M23" s="17"/>
      <c r="N23" s="12"/>
      <c r="O23" s="19" t="str">
        <f t="shared" si="3"/>
        <v/>
      </c>
      <c r="P23" s="19" t="str">
        <f t="shared" si="0"/>
        <v/>
      </c>
      <c r="Q23" s="19" t="str">
        <f t="shared" si="1"/>
        <v/>
      </c>
      <c r="R23" s="19" t="str">
        <f t="shared" si="2"/>
        <v/>
      </c>
      <c r="S23" s="20" t="str">
        <f t="shared" si="4"/>
        <v/>
      </c>
    </row>
    <row r="24" spans="3:19" s="8" customFormat="1" ht="15" customHeight="1" x14ac:dyDescent="0.25">
      <c r="C24" s="9">
        <v>4</v>
      </c>
      <c r="D24" s="10" t="s">
        <v>12</v>
      </c>
      <c r="E24" s="11">
        <v>90</v>
      </c>
      <c r="F24" s="11"/>
      <c r="G24" s="11"/>
      <c r="H24" s="11">
        <v>101</v>
      </c>
      <c r="I24" s="1"/>
      <c r="J24" s="17"/>
      <c r="K24" s="17"/>
      <c r="L24" s="17"/>
      <c r="M24" s="17"/>
      <c r="N24" s="12"/>
      <c r="O24" s="19" t="str">
        <f t="shared" si="3"/>
        <v/>
      </c>
      <c r="P24" s="19" t="str">
        <f t="shared" si="0"/>
        <v/>
      </c>
      <c r="Q24" s="19" t="str">
        <f t="shared" si="1"/>
        <v/>
      </c>
      <c r="R24" s="19" t="str">
        <f t="shared" si="2"/>
        <v/>
      </c>
      <c r="S24" s="20" t="str">
        <f t="shared" si="4"/>
        <v/>
      </c>
    </row>
    <row r="25" spans="3:19" s="8" customFormat="1" ht="15" customHeight="1" x14ac:dyDescent="0.25">
      <c r="C25" s="9">
        <v>5</v>
      </c>
      <c r="D25" s="10" t="s">
        <v>13</v>
      </c>
      <c r="E25" s="11">
        <v>62</v>
      </c>
      <c r="F25" s="11"/>
      <c r="G25" s="11"/>
      <c r="H25" s="11">
        <v>59</v>
      </c>
      <c r="I25" s="1"/>
      <c r="J25" s="17"/>
      <c r="K25" s="17"/>
      <c r="L25" s="17"/>
      <c r="M25" s="17"/>
      <c r="N25" s="12"/>
      <c r="O25" s="19" t="str">
        <f t="shared" si="3"/>
        <v/>
      </c>
      <c r="P25" s="19" t="str">
        <f t="shared" si="0"/>
        <v/>
      </c>
      <c r="Q25" s="19" t="str">
        <f t="shared" si="1"/>
        <v/>
      </c>
      <c r="R25" s="19" t="str">
        <f t="shared" si="2"/>
        <v/>
      </c>
      <c r="S25" s="20" t="str">
        <f t="shared" si="4"/>
        <v/>
      </c>
    </row>
    <row r="26" spans="3:19" s="8" customFormat="1" ht="15" customHeight="1" x14ac:dyDescent="0.25">
      <c r="C26" s="9">
        <v>6</v>
      </c>
      <c r="D26" s="10" t="s">
        <v>14</v>
      </c>
      <c r="E26" s="11">
        <v>31</v>
      </c>
      <c r="F26" s="11"/>
      <c r="G26" s="11"/>
      <c r="H26" s="11">
        <v>10</v>
      </c>
      <c r="I26" s="12"/>
      <c r="J26" s="17"/>
      <c r="K26" s="17"/>
      <c r="L26" s="17"/>
      <c r="M26" s="17"/>
      <c r="N26" s="12"/>
      <c r="O26" s="19" t="str">
        <f t="shared" si="3"/>
        <v/>
      </c>
      <c r="P26" s="19" t="str">
        <f t="shared" si="0"/>
        <v/>
      </c>
      <c r="Q26" s="19" t="str">
        <f t="shared" si="1"/>
        <v/>
      </c>
      <c r="R26" s="19" t="str">
        <f t="shared" si="2"/>
        <v/>
      </c>
      <c r="S26" s="20" t="str">
        <f t="shared" si="4"/>
        <v/>
      </c>
    </row>
    <row r="27" spans="3:19" s="8" customFormat="1" ht="15" customHeight="1" x14ac:dyDescent="0.25">
      <c r="C27" s="9">
        <v>7</v>
      </c>
      <c r="D27" s="10" t="s">
        <v>15</v>
      </c>
      <c r="E27" s="11">
        <v>31</v>
      </c>
      <c r="F27" s="11"/>
      <c r="G27" s="11"/>
      <c r="H27" s="11">
        <v>10</v>
      </c>
      <c r="I27" s="12"/>
      <c r="J27" s="17"/>
      <c r="K27" s="17"/>
      <c r="L27" s="17"/>
      <c r="M27" s="17"/>
      <c r="N27" s="12"/>
      <c r="O27" s="19" t="str">
        <f t="shared" si="3"/>
        <v/>
      </c>
      <c r="P27" s="19" t="str">
        <f t="shared" si="0"/>
        <v/>
      </c>
      <c r="Q27" s="19" t="str">
        <f t="shared" si="1"/>
        <v/>
      </c>
      <c r="R27" s="19" t="str">
        <f t="shared" si="2"/>
        <v/>
      </c>
      <c r="S27" s="20" t="str">
        <f t="shared" si="4"/>
        <v/>
      </c>
    </row>
    <row r="28" spans="3:19" s="8" customFormat="1" ht="15" customHeight="1" x14ac:dyDescent="0.25">
      <c r="C28" s="9">
        <v>8</v>
      </c>
      <c r="D28" s="10" t="s">
        <v>16</v>
      </c>
      <c r="E28" s="11"/>
      <c r="F28" s="11"/>
      <c r="G28" s="11"/>
      <c r="H28" s="11"/>
      <c r="I28" s="12"/>
      <c r="J28" s="17"/>
      <c r="K28" s="17"/>
      <c r="L28" s="17"/>
      <c r="M28" s="17"/>
      <c r="N28" s="12"/>
      <c r="O28" s="19" t="str">
        <f t="shared" si="3"/>
        <v/>
      </c>
      <c r="P28" s="19" t="str">
        <f t="shared" si="0"/>
        <v/>
      </c>
      <c r="Q28" s="19" t="str">
        <f t="shared" si="1"/>
        <v/>
      </c>
      <c r="R28" s="19" t="str">
        <f t="shared" si="2"/>
        <v/>
      </c>
      <c r="S28" s="20" t="str">
        <f t="shared" si="4"/>
        <v/>
      </c>
    </row>
    <row r="29" spans="3:19" s="8" customFormat="1" ht="15" customHeight="1" x14ac:dyDescent="0.25">
      <c r="C29" s="9">
        <v>9</v>
      </c>
      <c r="D29" s="10" t="s">
        <v>17</v>
      </c>
      <c r="E29" s="11"/>
      <c r="F29" s="11"/>
      <c r="G29" s="11"/>
      <c r="H29" s="11"/>
      <c r="I29" s="12"/>
      <c r="J29" s="17"/>
      <c r="K29" s="17"/>
      <c r="L29" s="17"/>
      <c r="M29" s="17"/>
      <c r="N29" s="12"/>
      <c r="O29" s="19" t="str">
        <f t="shared" si="3"/>
        <v/>
      </c>
      <c r="P29" s="19" t="str">
        <f t="shared" si="0"/>
        <v/>
      </c>
      <c r="Q29" s="19" t="str">
        <f t="shared" si="1"/>
        <v/>
      </c>
      <c r="R29" s="19" t="str">
        <f t="shared" si="2"/>
        <v/>
      </c>
      <c r="S29" s="20" t="str">
        <f t="shared" si="4"/>
        <v/>
      </c>
    </row>
    <row r="30" spans="3:19" s="8" customFormat="1" ht="15" customHeight="1" x14ac:dyDescent="0.25">
      <c r="C30" s="9">
        <v>10</v>
      </c>
      <c r="D30" s="10" t="s">
        <v>18</v>
      </c>
      <c r="E30" s="11"/>
      <c r="F30" s="11"/>
      <c r="G30" s="11"/>
      <c r="H30" s="11"/>
      <c r="I30" s="12"/>
      <c r="J30" s="17"/>
      <c r="K30" s="17"/>
      <c r="L30" s="17"/>
      <c r="M30" s="17"/>
      <c r="N30" s="12"/>
      <c r="O30" s="19" t="str">
        <f t="shared" si="3"/>
        <v/>
      </c>
      <c r="P30" s="19" t="str">
        <f t="shared" si="0"/>
        <v/>
      </c>
      <c r="Q30" s="19" t="str">
        <f t="shared" si="1"/>
        <v/>
      </c>
      <c r="R30" s="19" t="str">
        <f t="shared" si="2"/>
        <v/>
      </c>
      <c r="S30" s="20" t="str">
        <f t="shared" si="4"/>
        <v/>
      </c>
    </row>
    <row r="31" spans="3:19" ht="3.75" customHeight="1" x14ac:dyDescent="0.2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3:19" ht="15" x14ac:dyDescent="0.2">
      <c r="C32" s="154" t="s">
        <v>30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8"/>
      <c r="O32" s="19" t="str">
        <f>IF(COUNTIF(O21:O30,"")&gt;0,"",SUM(O21:O30))</f>
        <v/>
      </c>
      <c r="P32" s="19" t="str">
        <f t="shared" ref="P32:R32" si="5">IF(COUNTIF(P21:P30,"")&gt;0,"",SUM(P21:P30))</f>
        <v/>
      </c>
      <c r="Q32" s="19" t="str">
        <f t="shared" si="5"/>
        <v/>
      </c>
      <c r="R32" s="19" t="str">
        <f t="shared" si="5"/>
        <v/>
      </c>
      <c r="S32" s="20" t="str">
        <f>IF($E$7=0,"",IF($R$7=0,"",IF(COUNTIF(S21:S30,"")&gt;0,"",SUM(S21:S30))))</f>
        <v/>
      </c>
    </row>
    <row r="33" spans="3:19" ht="9.9499999999999993" customHeight="1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3:19" ht="7.5" customHeight="1" x14ac:dyDescent="0.2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3:19" ht="18.75" x14ac:dyDescent="0.3">
      <c r="C35" s="153" t="s">
        <v>37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</row>
    <row r="36" spans="3:19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3:19" s="23" customFormat="1" ht="20.25" customHeight="1" x14ac:dyDescent="0.2">
      <c r="C37" s="25"/>
      <c r="D37" s="25"/>
      <c r="E37" s="25"/>
      <c r="F37" s="25"/>
      <c r="G37" s="25"/>
      <c r="H37" s="151" t="s">
        <v>34</v>
      </c>
      <c r="I37" s="151"/>
      <c r="J37" s="151"/>
      <c r="K37" s="151" t="s">
        <v>35</v>
      </c>
      <c r="L37" s="151"/>
      <c r="M37" s="151"/>
      <c r="N37" s="151"/>
      <c r="O37" s="151"/>
      <c r="P37" s="151"/>
      <c r="Q37" s="151"/>
      <c r="R37" s="151"/>
      <c r="S37" s="151"/>
    </row>
    <row r="38" spans="3:19" s="5" customFormat="1" ht="17.25" customHeight="1" x14ac:dyDescent="0.25">
      <c r="C38" s="146" t="s">
        <v>51</v>
      </c>
      <c r="D38" s="146"/>
      <c r="E38" s="146"/>
      <c r="F38" s="146"/>
      <c r="G38" s="146"/>
      <c r="H38" s="176" t="str">
        <f>IF($S$32="","",$S$32)</f>
        <v/>
      </c>
      <c r="I38" s="177"/>
      <c r="J38" s="178"/>
      <c r="K38" s="179"/>
      <c r="L38" s="180"/>
      <c r="M38" s="180"/>
      <c r="N38" s="180"/>
      <c r="O38" s="180"/>
      <c r="P38" s="180"/>
      <c r="Q38" s="180"/>
      <c r="R38" s="180"/>
      <c r="S38" s="181"/>
    </row>
    <row r="39" spans="3:19" ht="4.5" customHeight="1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3:19" ht="15.75" x14ac:dyDescent="0.25">
      <c r="C40" s="146" t="s">
        <v>47</v>
      </c>
      <c r="D40" s="146"/>
      <c r="E40" s="146"/>
      <c r="F40" s="146"/>
      <c r="G40" s="146"/>
      <c r="H40" s="160"/>
      <c r="I40" s="161"/>
      <c r="J40" s="162"/>
      <c r="K40" s="16"/>
      <c r="L40" s="16"/>
      <c r="M40" s="16"/>
      <c r="N40" s="16"/>
      <c r="O40" s="16"/>
      <c r="P40" s="16"/>
      <c r="Q40" s="16"/>
      <c r="R40" s="16"/>
      <c r="S40" s="16"/>
    </row>
    <row r="41" spans="3:19" ht="27" customHeight="1" x14ac:dyDescent="0.2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3:19" ht="23.25" x14ac:dyDescent="0.25">
      <c r="C42" s="147" t="s">
        <v>44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</row>
    <row r="43" spans="3:19" s="5" customFormat="1" ht="8.25" customHeight="1" x14ac:dyDescent="0.25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3:19" s="5" customFormat="1" ht="15.75" x14ac:dyDescent="0.25">
      <c r="C44" s="146" t="s">
        <v>55</v>
      </c>
      <c r="D44" s="146"/>
      <c r="E44" s="146"/>
      <c r="F44" s="146"/>
      <c r="G44" s="146"/>
      <c r="H44" s="146"/>
      <c r="I44" s="146"/>
      <c r="J44" s="146"/>
      <c r="K44" s="171">
        <v>0.7</v>
      </c>
      <c r="L44" s="172"/>
      <c r="N44" s="27"/>
      <c r="O44" s="27"/>
      <c r="P44" s="27"/>
      <c r="Q44" s="27"/>
      <c r="R44" s="27"/>
      <c r="S44" s="27"/>
    </row>
    <row r="45" spans="3:19" s="5" customFormat="1" ht="5.0999999999999996" customHeight="1" x14ac:dyDescent="0.25">
      <c r="C45" s="27"/>
      <c r="D45" s="27"/>
      <c r="M45" s="27"/>
      <c r="N45" s="27"/>
      <c r="O45" s="27"/>
      <c r="P45" s="27"/>
      <c r="Q45" s="27"/>
      <c r="R45" s="27"/>
      <c r="S45" s="27"/>
    </row>
    <row r="46" spans="3:19" s="5" customFormat="1" ht="15.75" x14ac:dyDescent="0.25">
      <c r="C46" s="146" t="s">
        <v>53</v>
      </c>
      <c r="D46" s="146"/>
      <c r="E46" s="146"/>
      <c r="F46" s="146"/>
      <c r="G46" s="146"/>
      <c r="H46" s="146"/>
      <c r="I46" s="146"/>
      <c r="J46" s="146"/>
      <c r="K46" s="165">
        <v>813650.32</v>
      </c>
      <c r="L46" s="166"/>
      <c r="N46" s="27"/>
      <c r="O46" s="27"/>
      <c r="P46" s="27"/>
      <c r="Q46" s="27"/>
      <c r="R46" s="27"/>
      <c r="S46" s="27"/>
    </row>
    <row r="47" spans="3:19" s="5" customFormat="1" ht="5.0999999999999996" customHeight="1" x14ac:dyDescent="0.25">
      <c r="C47" s="27"/>
      <c r="D47" s="27"/>
      <c r="M47" s="27"/>
      <c r="N47" s="27"/>
      <c r="O47" s="27"/>
      <c r="P47" s="27"/>
      <c r="Q47" s="27"/>
      <c r="R47" s="27"/>
      <c r="S47" s="27"/>
    </row>
    <row r="48" spans="3:19" s="5" customFormat="1" ht="18.75" x14ac:dyDescent="0.25">
      <c r="C48" s="146" t="s">
        <v>52</v>
      </c>
      <c r="D48" s="146"/>
      <c r="E48" s="146"/>
      <c r="F48" s="146"/>
      <c r="G48" s="146"/>
      <c r="H48" s="146"/>
      <c r="I48" s="146"/>
      <c r="J48" s="146"/>
      <c r="K48" s="174">
        <f>IF($H$38="",0,IF($K$38=0,0,IF($H$40=0,0,$H$38)))</f>
        <v>0</v>
      </c>
      <c r="L48" s="175"/>
      <c r="M48" s="169" t="str">
        <f>IF($K$48="","",IF($K$48&gt;$K$46,"««« PROPOSTA EXCLUÍDA: Valor da proposta superior ao Preço Base fixado no Caderno de encargos",""))</f>
        <v/>
      </c>
      <c r="N48" s="170"/>
      <c r="O48" s="170"/>
      <c r="P48" s="170"/>
      <c r="Q48" s="170"/>
      <c r="R48" s="170"/>
      <c r="S48" s="170"/>
    </row>
    <row r="49" spans="3:19" s="5" customFormat="1" ht="5.0999999999999996" customHeight="1" x14ac:dyDescent="0.25">
      <c r="C49" s="27"/>
      <c r="D49" s="27"/>
      <c r="M49" s="27"/>
      <c r="N49" s="27"/>
      <c r="O49" s="27"/>
      <c r="P49" s="27"/>
      <c r="Q49" s="27"/>
      <c r="R49" s="27"/>
      <c r="S49" s="27"/>
    </row>
    <row r="50" spans="3:19" s="5" customFormat="1" ht="18.75" x14ac:dyDescent="0.25">
      <c r="C50" s="146" t="s">
        <v>56</v>
      </c>
      <c r="D50" s="146"/>
      <c r="E50" s="146"/>
      <c r="F50" s="146"/>
      <c r="G50" s="146"/>
      <c r="H50" s="146"/>
      <c r="I50" s="146"/>
      <c r="J50" s="146"/>
      <c r="K50" s="163" t="str">
        <f>IF($K$48&gt;$K$46,"",IF($K$48=0,"",IF($K$48&lt;0,"",(-($K$48/$K$46)*99)+100)))</f>
        <v/>
      </c>
      <c r="L50" s="164"/>
      <c r="N50" s="27"/>
      <c r="O50" s="27"/>
      <c r="P50" s="27"/>
      <c r="Q50" s="27"/>
      <c r="R50" s="27"/>
      <c r="S50" s="27"/>
    </row>
    <row r="51" spans="3:19" s="5" customFormat="1" ht="5.0999999999999996" customHeight="1" x14ac:dyDescent="0.25">
      <c r="C51" s="27"/>
      <c r="D51" s="27"/>
      <c r="M51" s="27"/>
      <c r="N51" s="27"/>
      <c r="O51" s="27"/>
      <c r="P51" s="27"/>
      <c r="Q51" s="27"/>
      <c r="R51" s="27"/>
      <c r="S51" s="27"/>
    </row>
    <row r="52" spans="3:19" s="5" customFormat="1" ht="21" x14ac:dyDescent="0.25">
      <c r="C52" s="146" t="s">
        <v>54</v>
      </c>
      <c r="D52" s="146"/>
      <c r="E52" s="146"/>
      <c r="F52" s="146"/>
      <c r="G52" s="146"/>
      <c r="H52" s="146"/>
      <c r="I52" s="146"/>
      <c r="J52" s="146"/>
      <c r="K52" s="167" t="str">
        <f>IF($K$50="","",($K$44/100)*$K$50)</f>
        <v/>
      </c>
      <c r="L52" s="168"/>
      <c r="N52" s="27"/>
      <c r="O52" s="27"/>
      <c r="P52" s="27"/>
      <c r="Q52" s="27"/>
      <c r="R52" s="27"/>
      <c r="S52" s="27"/>
    </row>
    <row r="53" spans="3:19" s="5" customFormat="1" ht="15" x14ac:dyDescent="0.25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3:19" s="5" customFormat="1" ht="15" x14ac:dyDescent="0.25">
      <c r="C54" s="27"/>
      <c r="N54" s="27"/>
      <c r="O54" s="27"/>
      <c r="P54" s="27"/>
      <c r="Q54" s="27"/>
      <c r="R54" s="27"/>
      <c r="S54" s="27"/>
    </row>
    <row r="55" spans="3:19" s="5" customFormat="1" ht="15" x14ac:dyDescent="0.25">
      <c r="C55" s="27"/>
      <c r="N55" s="27"/>
      <c r="O55" s="27"/>
      <c r="P55" s="27"/>
      <c r="Q55" s="27"/>
      <c r="R55" s="27"/>
      <c r="S55" s="27"/>
    </row>
    <row r="56" spans="3:19" s="5" customFormat="1" ht="15" x14ac:dyDescent="0.25">
      <c r="C56" s="27"/>
      <c r="N56" s="27"/>
      <c r="O56" s="27"/>
      <c r="P56" s="27"/>
      <c r="Q56" s="27"/>
      <c r="R56" s="27"/>
      <c r="S56" s="27"/>
    </row>
    <row r="57" spans="3:19" x14ac:dyDescent="0.2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3:19" x14ac:dyDescent="0.2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3:19" x14ac:dyDescent="0.2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3:19" x14ac:dyDescent="0.2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3:19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3:19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3:19" s="6" customFormat="1" x14ac:dyDescent="0.25"/>
    <row r="64" spans="3:19" ht="15" customHeight="1" x14ac:dyDescent="0.25">
      <c r="C64" s="134"/>
      <c r="D64" s="134"/>
      <c r="E64" s="134"/>
      <c r="F64" s="134"/>
      <c r="G64" s="134"/>
      <c r="H64" s="13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4"/>
    </row>
  </sheetData>
  <sheetProtection algorithmName="SHA-512" hashValue="Z07keLnEzNwaMczy9UUU0kUlug1PmqImSL/l0rqx/l7b7GMUbiVXju8XVRVhuSuYe4RDmhvbduxc/bs98glJvw==" saltValue="d/fp3sJljAl9Mmg4BhRC2A==" spinCount="100000" sheet="1" formatCells="0" selectLockedCells="1"/>
  <mergeCells count="48">
    <mergeCell ref="M48:S48"/>
    <mergeCell ref="C44:J44"/>
    <mergeCell ref="K44:L44"/>
    <mergeCell ref="C15:D15"/>
    <mergeCell ref="C16:D16"/>
    <mergeCell ref="C48:J48"/>
    <mergeCell ref="K48:L48"/>
    <mergeCell ref="C38:G38"/>
    <mergeCell ref="H38:J38"/>
    <mergeCell ref="H37:J37"/>
    <mergeCell ref="K37:S37"/>
    <mergeCell ref="K38:S38"/>
    <mergeCell ref="C50:J50"/>
    <mergeCell ref="K50:L50"/>
    <mergeCell ref="C46:J46"/>
    <mergeCell ref="K46:L46"/>
    <mergeCell ref="C52:J52"/>
    <mergeCell ref="K52:L52"/>
    <mergeCell ref="R7:S7"/>
    <mergeCell ref="R6:S6"/>
    <mergeCell ref="C11:S11"/>
    <mergeCell ref="C42:S42"/>
    <mergeCell ref="O15:S15"/>
    <mergeCell ref="O16:S16"/>
    <mergeCell ref="C32:M32"/>
    <mergeCell ref="C13:S13"/>
    <mergeCell ref="C14:S14"/>
    <mergeCell ref="O18:R18"/>
    <mergeCell ref="S18:S20"/>
    <mergeCell ref="C40:G40"/>
    <mergeCell ref="H40:J40"/>
    <mergeCell ref="C35:S35"/>
    <mergeCell ref="C3:S3"/>
    <mergeCell ref="C2:S2"/>
    <mergeCell ref="C64:H64"/>
    <mergeCell ref="E15:H15"/>
    <mergeCell ref="J15:M15"/>
    <mergeCell ref="E16:H16"/>
    <mergeCell ref="J16:M16"/>
    <mergeCell ref="C18:C20"/>
    <mergeCell ref="D18:D20"/>
    <mergeCell ref="E18:H18"/>
    <mergeCell ref="J18:M18"/>
    <mergeCell ref="C4:S4"/>
    <mergeCell ref="C7:D7"/>
    <mergeCell ref="C9:S9"/>
    <mergeCell ref="E7:Q7"/>
    <mergeCell ref="E6:Q6"/>
  </mergeCells>
  <phoneticPr fontId="9" type="noConversion"/>
  <conditionalFormatting sqref="K48:L48">
    <cfRule type="cellIs" dxfId="20" priority="1" operator="equal">
      <formula>0</formula>
    </cfRule>
    <cfRule type="cellIs" dxfId="19" priority="4" operator="greaterThan">
      <formula>$K$46</formula>
    </cfRule>
  </conditionalFormatting>
  <conditionalFormatting sqref="O21:R32">
    <cfRule type="cellIs" dxfId="18" priority="6" operator="equal">
      <formula>0</formula>
    </cfRule>
  </conditionalFormatting>
  <conditionalFormatting sqref="S21:S32">
    <cfRule type="cellIs" dxfId="17" priority="8" operator="equal">
      <formula>0</formula>
    </cfRule>
  </conditionalFormatting>
  <conditionalFormatting sqref="S64">
    <cfRule type="expression" dxfId="16" priority="23">
      <formula>#REF!="ATENÇÃO: VTE NÃO PODE ULTRAPASSAR O SEGUINTE VALOR:"</formula>
    </cfRule>
  </conditionalFormatting>
  <dataValidations count="1">
    <dataValidation type="list" allowBlank="1" showInputMessage="1" showErrorMessage="1" sqref="H40:J40" xr:uid="{A6FAB8A5-5627-43FF-AD3A-CD33F4C0BDDA}">
      <formula1>IVA</formula1>
    </dataValidation>
  </dataValidations>
  <printOptions horizontalCentered="1"/>
  <pageMargins left="0.35" right="0.24" top="0.52" bottom="0.36" header="0.19685039370078741" footer="0.23622047244094491"/>
  <pageSetup paperSize="8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6497-0F8E-4FF7-B006-BA091B39A516}">
  <dimension ref="C1:X49"/>
  <sheetViews>
    <sheetView showGridLines="0" workbookViewId="0">
      <pane ySplit="8" topLeftCell="A9" activePane="bottomLeft" state="frozen"/>
      <selection pane="bottomLeft" activeCell="G18" sqref="G18"/>
    </sheetView>
  </sheetViews>
  <sheetFormatPr defaultRowHeight="12.75" x14ac:dyDescent="0.25"/>
  <cols>
    <col min="1" max="1" width="2.28515625" style="33" customWidth="1"/>
    <col min="2" max="2" width="0.85546875" style="33" customWidth="1"/>
    <col min="3" max="3" width="6.140625" style="33" customWidth="1"/>
    <col min="4" max="4" width="9" style="33" customWidth="1"/>
    <col min="5" max="5" width="11.28515625" style="33" bestFit="1" customWidth="1"/>
    <col min="6" max="6" width="0.42578125" style="33" customWidth="1"/>
    <col min="7" max="8" width="12.7109375" style="33" customWidth="1"/>
    <col min="9" max="9" width="19.7109375" style="33" customWidth="1"/>
    <col min="10" max="11" width="16.42578125" style="33" customWidth="1"/>
    <col min="12" max="12" width="17.42578125" style="33" customWidth="1"/>
    <col min="13" max="13" width="0.42578125" style="33" customWidth="1"/>
    <col min="14" max="15" width="12.7109375" style="33" customWidth="1"/>
    <col min="16" max="16" width="0.85546875" style="33" customWidth="1"/>
    <col min="17" max="17" width="9.140625" style="34" hidden="1" customWidth="1"/>
    <col min="18" max="18" width="9.42578125" style="33" hidden="1" customWidth="1"/>
    <col min="19" max="19" width="14.42578125" style="33" hidden="1" customWidth="1"/>
    <col min="20" max="16384" width="9.140625" style="33"/>
  </cols>
  <sheetData>
    <row r="1" spans="3:19" ht="8.25" customHeight="1" x14ac:dyDescent="0.25"/>
    <row r="2" spans="3:19" ht="47.1" customHeight="1" x14ac:dyDescent="0.25">
      <c r="C2" s="97" t="s">
        <v>93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3:19" s="36" customFormat="1" ht="26.25" x14ac:dyDescent="0.25">
      <c r="C3" s="98" t="s">
        <v>36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Q3" s="37"/>
    </row>
    <row r="4" spans="3:19" ht="23.25" x14ac:dyDescent="0.25">
      <c r="C4" s="99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3:19" ht="3.75" customHeight="1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3:19" s="40" customFormat="1" ht="12.75" customHeight="1" x14ac:dyDescent="0.2">
      <c r="C6" s="38"/>
      <c r="D6" s="38"/>
      <c r="E6" s="102" t="s">
        <v>39</v>
      </c>
      <c r="F6" s="102"/>
      <c r="G6" s="102"/>
      <c r="H6" s="102"/>
      <c r="I6" s="102"/>
      <c r="J6" s="102"/>
      <c r="K6" s="102"/>
      <c r="L6" s="102"/>
      <c r="M6" s="102"/>
      <c r="N6" s="102"/>
      <c r="O6" s="39" t="s">
        <v>46</v>
      </c>
      <c r="R6" s="33"/>
    </row>
    <row r="7" spans="3:19" s="43" customFormat="1" ht="15" x14ac:dyDescent="0.25">
      <c r="C7" s="103" t="s">
        <v>38</v>
      </c>
      <c r="D7" s="103"/>
      <c r="E7" s="104">
        <f>'ANEXO II - PTP'!$E$7</f>
        <v>0</v>
      </c>
      <c r="F7" s="104"/>
      <c r="G7" s="104"/>
      <c r="H7" s="104"/>
      <c r="I7" s="104"/>
      <c r="J7" s="104"/>
      <c r="K7" s="104"/>
      <c r="L7" s="104"/>
      <c r="M7" s="104"/>
      <c r="N7" s="104"/>
      <c r="O7" s="42">
        <f>'ANEXO II - PTP'!$R$7</f>
        <v>0</v>
      </c>
      <c r="R7" s="33"/>
    </row>
    <row r="8" spans="3:19" ht="9" customHeight="1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3:19" ht="23.25" x14ac:dyDescent="0.25">
      <c r="C9" s="96" t="s">
        <v>43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3:19" ht="9.9499999999999993" customHeight="1" x14ac:dyDescent="0.25"/>
    <row r="11" spans="3:19" ht="18.75" customHeight="1" x14ac:dyDescent="0.25">
      <c r="J11" s="118" t="s">
        <v>69</v>
      </c>
      <c r="K11" s="119"/>
      <c r="L11" s="119"/>
      <c r="M11" s="119"/>
      <c r="N11" s="120"/>
      <c r="O11" s="45">
        <v>46174</v>
      </c>
    </row>
    <row r="12" spans="3:19" ht="9.9499999999999993" customHeight="1" x14ac:dyDescent="0.25"/>
    <row r="13" spans="3:19" s="40" customFormat="1" ht="24" customHeight="1" thickBot="1" x14ac:dyDescent="0.25">
      <c r="C13" s="90" t="s">
        <v>61</v>
      </c>
      <c r="D13" s="90"/>
      <c r="E13" s="90"/>
      <c r="F13" s="46"/>
      <c r="G13" s="90" t="s">
        <v>63</v>
      </c>
      <c r="H13" s="90"/>
      <c r="I13" s="90"/>
      <c r="J13" s="90"/>
      <c r="K13" s="90"/>
      <c r="L13" s="90"/>
      <c r="M13" s="46"/>
      <c r="N13" s="122" t="s">
        <v>68</v>
      </c>
      <c r="O13" s="122"/>
      <c r="Q13" s="47"/>
    </row>
    <row r="14" spans="3:19" ht="6.75" customHeight="1" x14ac:dyDescent="0.2">
      <c r="C14" s="93"/>
      <c r="D14" s="94"/>
      <c r="E14" s="95"/>
      <c r="F14" s="46"/>
      <c r="G14" s="93"/>
      <c r="H14" s="94"/>
      <c r="I14" s="94"/>
      <c r="J14" s="94"/>
      <c r="K14" s="94"/>
      <c r="L14" s="95"/>
      <c r="M14" s="46"/>
      <c r="N14" s="93"/>
      <c r="O14" s="95"/>
    </row>
    <row r="15" spans="3:19" ht="3.75" customHeight="1" x14ac:dyDescent="0.25"/>
    <row r="16" spans="3:19" s="49" customFormat="1" ht="15.75" x14ac:dyDescent="0.25">
      <c r="C16" s="116" t="s">
        <v>59</v>
      </c>
      <c r="D16" s="116" t="s">
        <v>2</v>
      </c>
      <c r="E16" s="116" t="s">
        <v>1</v>
      </c>
      <c r="F16" s="33"/>
      <c r="G16" s="91" t="s">
        <v>62</v>
      </c>
      <c r="H16" s="92"/>
      <c r="I16" s="114" t="s">
        <v>66</v>
      </c>
      <c r="J16" s="114" t="s">
        <v>67</v>
      </c>
      <c r="K16" s="114" t="s">
        <v>70</v>
      </c>
      <c r="L16" s="114" t="s">
        <v>84</v>
      </c>
      <c r="M16" s="33"/>
      <c r="N16" s="123" t="s">
        <v>76</v>
      </c>
      <c r="O16" s="125" t="s">
        <v>77</v>
      </c>
      <c r="Q16" s="50"/>
      <c r="S16" s="121" t="s">
        <v>75</v>
      </c>
    </row>
    <row r="17" spans="3:24" s="49" customFormat="1" ht="15.75" x14ac:dyDescent="0.25">
      <c r="C17" s="117"/>
      <c r="D17" s="117"/>
      <c r="E17" s="117"/>
      <c r="F17" s="33"/>
      <c r="G17" s="48" t="s">
        <v>64</v>
      </c>
      <c r="H17" s="48" t="s">
        <v>65</v>
      </c>
      <c r="I17" s="115"/>
      <c r="J17" s="115"/>
      <c r="K17" s="115"/>
      <c r="L17" s="115"/>
      <c r="M17" s="33"/>
      <c r="N17" s="124"/>
      <c r="O17" s="126"/>
      <c r="Q17" s="50" t="s">
        <v>60</v>
      </c>
      <c r="R17" s="50" t="s">
        <v>73</v>
      </c>
      <c r="S17" s="121"/>
    </row>
    <row r="18" spans="3:24" s="49" customFormat="1" ht="18.95" customHeight="1" x14ac:dyDescent="0.25">
      <c r="C18" s="56">
        <v>1</v>
      </c>
      <c r="D18" s="57" t="s">
        <v>7</v>
      </c>
      <c r="E18" s="58" t="s">
        <v>19</v>
      </c>
      <c r="F18" s="55"/>
      <c r="G18" s="31"/>
      <c r="H18" s="28"/>
      <c r="I18" s="17"/>
      <c r="J18" s="17"/>
      <c r="K18" s="88"/>
      <c r="L18" s="17"/>
      <c r="M18" s="55"/>
      <c r="N18" s="52" t="str">
        <f t="shared" ref="N18:N34" si="0">IF($E$7=0,"",IF($O$7=0,"",IF($Q18=3,"",IF($Q18=2,"",IF($S18&gt;$O$11,"",ROUND((($O$11-$S18)/31)+2,0))))))</f>
        <v/>
      </c>
      <c r="O18" s="53" t="str">
        <f>IF($Q18=2,"",IF($R18=0,"EXCLUÍDO",IF($Q18=0,"",IF($N18="","",ROUND(SUMIFS($N$18:$N18,$Q$18:$Q18,1)/COUNTIF($Q$18:$Q18,1),1)))))</f>
        <v/>
      </c>
      <c r="Q18" s="86">
        <f t="shared" ref="Q18:Q22" si="1">IF($E$7=0,0,IF($O$7=0,0,IF($D18=0,2,IF($E18=0,2,IF($H18&gt;$O$11,0,IF($R18=0,0,IF(COUNTBLANK($G18:$L18)&gt;0,3,1)))))))</f>
        <v>0</v>
      </c>
      <c r="R18" s="54">
        <f t="shared" ref="R18:R34" si="2">IF($S18="",2,IF(((($O$11-$S18)/31)+2)&gt;$H$42,0,IF($T18="«« Veículo repetido",0,1)))</f>
        <v>2</v>
      </c>
      <c r="S18" s="87" t="str">
        <f t="shared" ref="S18:S34" si="3">IF($H18=0,"",DATE(YEAR(H18),MONTH(H18),1))</f>
        <v/>
      </c>
      <c r="T18" s="113" t="str">
        <f>IF($G18=0,"",IF(COUNTIF($G$18:$G18,$G18)&gt;1,"«« Veículo repetido",""))</f>
        <v/>
      </c>
      <c r="U18" s="113"/>
      <c r="V18" s="113"/>
      <c r="W18" s="113"/>
      <c r="X18" s="113"/>
    </row>
    <row r="19" spans="3:24" s="49" customFormat="1" ht="18.95" customHeight="1" x14ac:dyDescent="0.25">
      <c r="C19" s="56">
        <v>2</v>
      </c>
      <c r="D19" s="57" t="s">
        <v>7</v>
      </c>
      <c r="E19" s="58" t="s">
        <v>19</v>
      </c>
      <c r="F19" s="55"/>
      <c r="G19" s="31"/>
      <c r="H19" s="28"/>
      <c r="I19" s="17"/>
      <c r="J19" s="17"/>
      <c r="K19" s="88"/>
      <c r="L19" s="17"/>
      <c r="M19" s="55"/>
      <c r="N19" s="52" t="str">
        <f t="shared" si="0"/>
        <v/>
      </c>
      <c r="O19" s="53" t="str">
        <f>IF($Q19=2,"",IF($R19=0,"EXCLUÍDO",IF($Q19=0,"",IF($N19="","",ROUND(SUMIFS($N$18:$N19,$Q$18:$Q19,1)/COUNTIF($Q$18:$Q19,1),1)))))</f>
        <v/>
      </c>
      <c r="Q19" s="86">
        <f t="shared" si="1"/>
        <v>0</v>
      </c>
      <c r="R19" s="54">
        <f t="shared" si="2"/>
        <v>2</v>
      </c>
      <c r="S19" s="87" t="str">
        <f t="shared" si="3"/>
        <v/>
      </c>
      <c r="T19" s="113" t="str">
        <f>IF($G19=0,"",IF(COUNTIF($G$18:$G19,$G19)&gt;1,"«« Veículo repetido",""))</f>
        <v/>
      </c>
      <c r="U19" s="113"/>
      <c r="V19" s="113"/>
      <c r="W19" s="113"/>
      <c r="X19" s="113"/>
    </row>
    <row r="20" spans="3:24" s="49" customFormat="1" ht="18.95" customHeight="1" x14ac:dyDescent="0.25">
      <c r="C20" s="56">
        <v>3</v>
      </c>
      <c r="D20" s="57" t="s">
        <v>7</v>
      </c>
      <c r="E20" s="58" t="s">
        <v>19</v>
      </c>
      <c r="F20" s="55"/>
      <c r="G20" s="31"/>
      <c r="H20" s="28"/>
      <c r="I20" s="17"/>
      <c r="J20" s="17"/>
      <c r="K20" s="88"/>
      <c r="L20" s="17"/>
      <c r="M20" s="55"/>
      <c r="N20" s="52" t="str">
        <f t="shared" si="0"/>
        <v/>
      </c>
      <c r="O20" s="53" t="str">
        <f>IF($Q20=2,"",IF($R20=0,"EXCLUÍDO",IF($Q20=0,"",IF($N20="","",ROUND(SUMIFS($N$18:$N20,$Q$18:$Q20,1)/COUNTIF($Q$18:$Q20,1),1)))))</f>
        <v/>
      </c>
      <c r="Q20" s="86">
        <f t="shared" si="1"/>
        <v>0</v>
      </c>
      <c r="R20" s="54">
        <f t="shared" si="2"/>
        <v>2</v>
      </c>
      <c r="S20" s="87" t="str">
        <f t="shared" si="3"/>
        <v/>
      </c>
      <c r="T20" s="113" t="str">
        <f>IF($G20=0,"",IF(COUNTIF($G$18:$G20,$G20)&gt;1,"«« Veículo repetido",""))</f>
        <v/>
      </c>
      <c r="U20" s="113"/>
      <c r="V20" s="113"/>
      <c r="W20" s="113"/>
      <c r="X20" s="113"/>
    </row>
    <row r="21" spans="3:24" s="49" customFormat="1" ht="18.95" customHeight="1" x14ac:dyDescent="0.25">
      <c r="C21" s="56">
        <v>4</v>
      </c>
      <c r="D21" s="57" t="s">
        <v>7</v>
      </c>
      <c r="E21" s="58" t="s">
        <v>19</v>
      </c>
      <c r="F21" s="55"/>
      <c r="G21" s="31"/>
      <c r="H21" s="28"/>
      <c r="I21" s="17"/>
      <c r="J21" s="17"/>
      <c r="K21" s="88"/>
      <c r="L21" s="17"/>
      <c r="M21" s="55"/>
      <c r="N21" s="52" t="str">
        <f t="shared" si="0"/>
        <v/>
      </c>
      <c r="O21" s="53" t="str">
        <f>IF($Q21=2,"",IF($R21=0,"EXCLUÍDO",IF($Q21=0,"",IF($N21="","",ROUND(SUMIFS($N$18:$N21,$Q$18:$Q21,1)/COUNTIF($Q$18:$Q21,1),1)))))</f>
        <v/>
      </c>
      <c r="Q21" s="86">
        <f t="shared" si="1"/>
        <v>0</v>
      </c>
      <c r="R21" s="54">
        <f t="shared" si="2"/>
        <v>2</v>
      </c>
      <c r="S21" s="87" t="str">
        <f t="shared" si="3"/>
        <v/>
      </c>
      <c r="T21" s="113" t="str">
        <f>IF($G21=0,"",IF(COUNTIF($G$18:$G21,$G21)&gt;1,"«« Veículo repetido",""))</f>
        <v/>
      </c>
      <c r="U21" s="113"/>
      <c r="V21" s="113"/>
      <c r="W21" s="113"/>
      <c r="X21" s="113"/>
    </row>
    <row r="22" spans="3:24" s="49" customFormat="1" ht="18.95" customHeight="1" x14ac:dyDescent="0.25">
      <c r="C22" s="56">
        <v>5</v>
      </c>
      <c r="D22" s="57" t="s">
        <v>7</v>
      </c>
      <c r="E22" s="58" t="s">
        <v>22</v>
      </c>
      <c r="F22" s="55"/>
      <c r="G22" s="31"/>
      <c r="H22" s="28"/>
      <c r="I22" s="17"/>
      <c r="J22" s="17"/>
      <c r="K22" s="88"/>
      <c r="L22" s="17"/>
      <c r="M22" s="55"/>
      <c r="N22" s="52" t="str">
        <f t="shared" si="0"/>
        <v/>
      </c>
      <c r="O22" s="53" t="str">
        <f>IF($Q22=2,"",IF($R22=0,"EXCLUÍDO",IF($Q22=0,"",IF($N22="","",ROUND(SUMIFS($N$18:$N22,$Q$18:$Q22,1)/COUNTIF($Q$18:$Q22,1),1)))))</f>
        <v/>
      </c>
      <c r="Q22" s="86">
        <f t="shared" si="1"/>
        <v>0</v>
      </c>
      <c r="R22" s="54">
        <f t="shared" si="2"/>
        <v>2</v>
      </c>
      <c r="S22" s="87" t="str">
        <f t="shared" si="3"/>
        <v/>
      </c>
      <c r="T22" s="113" t="str">
        <f>IF($G22=0,"",IF(COUNTIF($G$18:$G22,$G22)&gt;1,"«« Veículo repetido",""))</f>
        <v/>
      </c>
      <c r="U22" s="113"/>
      <c r="V22" s="113"/>
      <c r="W22" s="113"/>
      <c r="X22" s="113"/>
    </row>
    <row r="23" spans="3:24" s="49" customFormat="1" ht="18.95" customHeight="1" x14ac:dyDescent="0.25">
      <c r="C23" s="51">
        <v>6</v>
      </c>
      <c r="D23" s="84"/>
      <c r="E23" s="85"/>
      <c r="F23" s="55"/>
      <c r="G23" s="32"/>
      <c r="H23" s="30"/>
      <c r="I23" s="29"/>
      <c r="J23" s="29"/>
      <c r="K23" s="89"/>
      <c r="L23" s="29"/>
      <c r="M23" s="55"/>
      <c r="N23" s="52" t="str">
        <f t="shared" si="0"/>
        <v/>
      </c>
      <c r="O23" s="53" t="str">
        <f>IF($Q23=2,"",IF($R23=0,"EXCLUÍDO",IF($Q23=0,"",IF($N23="","",ROUND(SUMIFS($N$18:$N23,$Q$18:$Q23,1)/COUNTIF($Q$18:$Q23,1),1)))))</f>
        <v/>
      </c>
      <c r="Q23" s="86">
        <f>IF($E$7=0,0,IF($O$7=0,0,IF($D23=0,2,IF($E23=0,2,IF($H23&gt;$O$11,0,IF($R23=0,0,IF(COUNTBLANK($G23:$L23)&gt;0,3,1)))))))</f>
        <v>0</v>
      </c>
      <c r="R23" s="54">
        <f t="shared" si="2"/>
        <v>2</v>
      </c>
      <c r="S23" s="87" t="str">
        <f>IF($H23=0,"",DATE(YEAR(H23),MONTH(H23),1))</f>
        <v/>
      </c>
      <c r="T23" s="113" t="str">
        <f>IF($G23=0,"",IF(COUNTIF($G$18:$G23,$G23)&gt;1,"«« Veículo repetido",""))</f>
        <v/>
      </c>
      <c r="U23" s="113"/>
      <c r="V23" s="113"/>
      <c r="W23" s="113"/>
      <c r="X23" s="113"/>
    </row>
    <row r="24" spans="3:24" s="49" customFormat="1" ht="18.95" customHeight="1" x14ac:dyDescent="0.25">
      <c r="C24" s="51">
        <v>7</v>
      </c>
      <c r="D24" s="84"/>
      <c r="E24" s="85"/>
      <c r="F24" s="55"/>
      <c r="G24" s="32"/>
      <c r="H24" s="30"/>
      <c r="I24" s="29"/>
      <c r="J24" s="29"/>
      <c r="K24" s="89"/>
      <c r="L24" s="29"/>
      <c r="M24" s="55"/>
      <c r="N24" s="52" t="str">
        <f t="shared" si="0"/>
        <v/>
      </c>
      <c r="O24" s="53" t="str">
        <f>IF($Q24=2,"",IF($R24=0,"EXCLUÍDO",IF($Q24=0,"",IF($N24="","",ROUND(SUMIFS($N$18:$N24,$Q$18:$Q24,1)/COUNTIF($Q$18:$Q24,1),1)))))</f>
        <v/>
      </c>
      <c r="Q24" s="86">
        <f t="shared" ref="Q24:Q34" si="4">IF($E$7=0,0,IF($O$7=0,0,IF($D24=0,2,IF($E24=0,2,IF($H24&gt;$O$11,0,IF($R24=0,0,IF(COUNTBLANK($G24:$L24)&gt;0,3,1)))))))</f>
        <v>0</v>
      </c>
      <c r="R24" s="54">
        <f t="shared" si="2"/>
        <v>2</v>
      </c>
      <c r="S24" s="87" t="str">
        <f t="shared" si="3"/>
        <v/>
      </c>
      <c r="T24" s="113" t="str">
        <f>IF($G24=0,"",IF(COUNTIF($G$18:$G24,$G24)&gt;1,"«« Veículo repetido",""))</f>
        <v/>
      </c>
      <c r="U24" s="113"/>
      <c r="V24" s="113"/>
      <c r="W24" s="113"/>
      <c r="X24" s="113"/>
    </row>
    <row r="25" spans="3:24" s="49" customFormat="1" ht="18.95" customHeight="1" x14ac:dyDescent="0.25">
      <c r="C25" s="51">
        <v>8</v>
      </c>
      <c r="D25" s="84"/>
      <c r="E25" s="85"/>
      <c r="F25" s="55"/>
      <c r="G25" s="32"/>
      <c r="H25" s="30"/>
      <c r="I25" s="29"/>
      <c r="J25" s="29"/>
      <c r="K25" s="89"/>
      <c r="L25" s="29"/>
      <c r="M25" s="55"/>
      <c r="N25" s="52" t="str">
        <f t="shared" si="0"/>
        <v/>
      </c>
      <c r="O25" s="53" t="str">
        <f>IF($Q25=2,"",IF($R25=0,"EXCLUÍDO",IF($Q25=0,"",IF($N25="","",ROUND(SUMIFS($N$18:$N25,$Q$18:$Q25,1)/COUNTIF($Q$18:$Q25,1),1)))))</f>
        <v/>
      </c>
      <c r="Q25" s="86">
        <f t="shared" si="4"/>
        <v>0</v>
      </c>
      <c r="R25" s="54">
        <f t="shared" si="2"/>
        <v>2</v>
      </c>
      <c r="S25" s="87" t="str">
        <f t="shared" si="3"/>
        <v/>
      </c>
      <c r="T25" s="113" t="str">
        <f>IF($G25=0,"",IF(COUNTIF($G$18:$G25,$G25)&gt;1,"«« Veículo repetido",""))</f>
        <v/>
      </c>
      <c r="U25" s="113"/>
      <c r="V25" s="113"/>
      <c r="W25" s="113"/>
      <c r="X25" s="113"/>
    </row>
    <row r="26" spans="3:24" s="49" customFormat="1" ht="18.95" customHeight="1" x14ac:dyDescent="0.25">
      <c r="C26" s="51">
        <v>9</v>
      </c>
      <c r="D26" s="84"/>
      <c r="E26" s="85"/>
      <c r="F26" s="55"/>
      <c r="G26" s="32"/>
      <c r="H26" s="30"/>
      <c r="I26" s="29"/>
      <c r="J26" s="29"/>
      <c r="K26" s="89"/>
      <c r="L26" s="29"/>
      <c r="M26" s="55"/>
      <c r="N26" s="52" t="str">
        <f t="shared" si="0"/>
        <v/>
      </c>
      <c r="O26" s="53" t="str">
        <f>IF($Q26=2,"",IF($R26=0,"EXCLUÍDO",IF($Q26=0,"",IF($N26="","",ROUND(SUMIFS($N$18:$N26,$Q$18:$Q26,1)/COUNTIF($Q$18:$Q26,1),1)))))</f>
        <v/>
      </c>
      <c r="Q26" s="86">
        <f t="shared" si="4"/>
        <v>0</v>
      </c>
      <c r="R26" s="54">
        <f t="shared" si="2"/>
        <v>2</v>
      </c>
      <c r="S26" s="87" t="str">
        <f t="shared" si="3"/>
        <v/>
      </c>
      <c r="T26" s="113" t="str">
        <f>IF($G26=0,"",IF(COUNTIF($G$18:$G26,$G26)&gt;1,"«« Veículo repetido",""))</f>
        <v/>
      </c>
      <c r="U26" s="113"/>
      <c r="V26" s="113"/>
      <c r="W26" s="113"/>
      <c r="X26" s="113"/>
    </row>
    <row r="27" spans="3:24" s="49" customFormat="1" ht="18.95" customHeight="1" x14ac:dyDescent="0.25">
      <c r="C27" s="51">
        <v>10</v>
      </c>
      <c r="D27" s="84"/>
      <c r="E27" s="85"/>
      <c r="F27" s="55"/>
      <c r="G27" s="32"/>
      <c r="H27" s="30"/>
      <c r="I27" s="29"/>
      <c r="J27" s="29"/>
      <c r="K27" s="89"/>
      <c r="L27" s="29"/>
      <c r="M27" s="55"/>
      <c r="N27" s="52" t="str">
        <f t="shared" si="0"/>
        <v/>
      </c>
      <c r="O27" s="53" t="str">
        <f>IF($Q27=2,"",IF($R27=0,"EXCLUÍDO",IF($Q27=0,"",IF($N27="","",ROUND(SUMIFS($N$18:$N27,$Q$18:$Q27,1)/COUNTIF($Q$18:$Q27,1),1)))))</f>
        <v/>
      </c>
      <c r="Q27" s="86">
        <f t="shared" si="4"/>
        <v>0</v>
      </c>
      <c r="R27" s="54">
        <f t="shared" si="2"/>
        <v>2</v>
      </c>
      <c r="S27" s="87" t="str">
        <f t="shared" si="3"/>
        <v/>
      </c>
      <c r="T27" s="113" t="str">
        <f>IF($G27=0,"",IF(COUNTIF($G$18:$G27,$G27)&gt;1,"«« Veículo repetido",""))</f>
        <v/>
      </c>
      <c r="U27" s="113"/>
      <c r="V27" s="113"/>
      <c r="W27" s="113"/>
      <c r="X27" s="113"/>
    </row>
    <row r="28" spans="3:24" s="49" customFormat="1" ht="18.95" customHeight="1" x14ac:dyDescent="0.25">
      <c r="C28" s="51">
        <v>11</v>
      </c>
      <c r="D28" s="84"/>
      <c r="E28" s="85"/>
      <c r="F28" s="55"/>
      <c r="G28" s="32"/>
      <c r="H28" s="30"/>
      <c r="I28" s="29"/>
      <c r="J28" s="29"/>
      <c r="K28" s="89"/>
      <c r="L28" s="29"/>
      <c r="M28" s="55"/>
      <c r="N28" s="52" t="str">
        <f t="shared" si="0"/>
        <v/>
      </c>
      <c r="O28" s="53" t="str">
        <f>IF($Q28=2,"",IF($R28=0,"EXCLUÍDO",IF($Q28=0,"",IF($N28="","",ROUND(SUMIFS($N$18:$N28,$Q$18:$Q28,1)/COUNTIF($Q$18:$Q28,1),1)))))</f>
        <v/>
      </c>
      <c r="Q28" s="86">
        <f t="shared" si="4"/>
        <v>0</v>
      </c>
      <c r="R28" s="54">
        <f t="shared" si="2"/>
        <v>2</v>
      </c>
      <c r="S28" s="87" t="str">
        <f t="shared" si="3"/>
        <v/>
      </c>
      <c r="T28" s="113" t="str">
        <f>IF($G28=0,"",IF(COUNTIF($G$18:$G28,$G28)&gt;1,"«« Veículo repetido",""))</f>
        <v/>
      </c>
      <c r="U28" s="113"/>
      <c r="V28" s="113"/>
      <c r="W28" s="113"/>
      <c r="X28" s="113"/>
    </row>
    <row r="29" spans="3:24" s="49" customFormat="1" ht="18.95" customHeight="1" x14ac:dyDescent="0.25">
      <c r="C29" s="51">
        <v>12</v>
      </c>
      <c r="D29" s="84"/>
      <c r="E29" s="85"/>
      <c r="F29" s="55"/>
      <c r="G29" s="32"/>
      <c r="H29" s="30"/>
      <c r="I29" s="29"/>
      <c r="J29" s="29"/>
      <c r="K29" s="89"/>
      <c r="L29" s="29"/>
      <c r="M29" s="55"/>
      <c r="N29" s="52" t="str">
        <f t="shared" si="0"/>
        <v/>
      </c>
      <c r="O29" s="53" t="str">
        <f>IF($Q29=2,"",IF($R29=0,"EXCLUÍDO",IF($Q29=0,"",IF($N29="","",ROUND(SUMIFS($N$18:$N29,$Q$18:$Q29,1)/COUNTIF($Q$18:$Q29,1),1)))))</f>
        <v/>
      </c>
      <c r="Q29" s="86">
        <f t="shared" si="4"/>
        <v>0</v>
      </c>
      <c r="R29" s="54">
        <f t="shared" si="2"/>
        <v>2</v>
      </c>
      <c r="S29" s="87" t="str">
        <f t="shared" si="3"/>
        <v/>
      </c>
      <c r="T29" s="113" t="str">
        <f>IF($G29=0,"",IF(COUNTIF($G$18:$G29,$G29)&gt;1,"«« Veículo repetido",""))</f>
        <v/>
      </c>
      <c r="U29" s="113"/>
      <c r="V29" s="113"/>
      <c r="W29" s="113"/>
      <c r="X29" s="113"/>
    </row>
    <row r="30" spans="3:24" s="49" customFormat="1" ht="18.95" customHeight="1" x14ac:dyDescent="0.25">
      <c r="C30" s="51">
        <v>13</v>
      </c>
      <c r="D30" s="84"/>
      <c r="E30" s="85"/>
      <c r="F30" s="55"/>
      <c r="G30" s="32"/>
      <c r="H30" s="30"/>
      <c r="I30" s="29"/>
      <c r="J30" s="29"/>
      <c r="K30" s="89"/>
      <c r="L30" s="29"/>
      <c r="M30" s="55"/>
      <c r="N30" s="52" t="str">
        <f t="shared" si="0"/>
        <v/>
      </c>
      <c r="O30" s="53" t="str">
        <f>IF($Q30=2,"",IF($R30=0,"EXCLUÍDO",IF($Q30=0,"",IF($N30="","",ROUND(SUMIFS($N$18:$N30,$Q$18:$Q30,1)/COUNTIF($Q$18:$Q30,1),1)))))</f>
        <v/>
      </c>
      <c r="Q30" s="86">
        <f t="shared" si="4"/>
        <v>0</v>
      </c>
      <c r="R30" s="54">
        <f t="shared" si="2"/>
        <v>2</v>
      </c>
      <c r="S30" s="87" t="str">
        <f t="shared" si="3"/>
        <v/>
      </c>
      <c r="T30" s="113" t="str">
        <f>IF($G30=0,"",IF(COUNTIF($G$18:$G30,$G30)&gt;1,"«« Veículo repetido",""))</f>
        <v/>
      </c>
      <c r="U30" s="113"/>
      <c r="V30" s="113"/>
      <c r="W30" s="113"/>
      <c r="X30" s="113"/>
    </row>
    <row r="31" spans="3:24" s="49" customFormat="1" ht="18.95" customHeight="1" x14ac:dyDescent="0.25">
      <c r="C31" s="51">
        <v>14</v>
      </c>
      <c r="D31" s="84"/>
      <c r="E31" s="85"/>
      <c r="F31" s="55"/>
      <c r="G31" s="32"/>
      <c r="H31" s="30"/>
      <c r="I31" s="29"/>
      <c r="J31" s="29"/>
      <c r="K31" s="89"/>
      <c r="L31" s="29"/>
      <c r="M31" s="55"/>
      <c r="N31" s="52" t="str">
        <f t="shared" si="0"/>
        <v/>
      </c>
      <c r="O31" s="53" t="str">
        <f>IF($Q31=2,"",IF($R31=0,"EXCLUÍDO",IF($Q31=0,"",IF($N31="","",ROUND(SUMIFS($N$18:$N31,$Q$18:$Q31,1)/COUNTIF($Q$18:$Q31,1),1)))))</f>
        <v/>
      </c>
      <c r="Q31" s="86">
        <f t="shared" si="4"/>
        <v>0</v>
      </c>
      <c r="R31" s="54">
        <f t="shared" si="2"/>
        <v>2</v>
      </c>
      <c r="S31" s="87" t="str">
        <f t="shared" si="3"/>
        <v/>
      </c>
      <c r="T31" s="113" t="str">
        <f>IF($G31=0,"",IF(COUNTIF($G$18:$G31,$G31)&gt;1,"«« Veículo repetido",""))</f>
        <v/>
      </c>
      <c r="U31" s="113"/>
      <c r="V31" s="113"/>
      <c r="W31" s="113"/>
      <c r="X31" s="113"/>
    </row>
    <row r="32" spans="3:24" s="49" customFormat="1" ht="18.95" customHeight="1" x14ac:dyDescent="0.25">
      <c r="C32" s="51">
        <v>15</v>
      </c>
      <c r="D32" s="84"/>
      <c r="E32" s="85"/>
      <c r="F32" s="55"/>
      <c r="G32" s="32"/>
      <c r="H32" s="30"/>
      <c r="I32" s="29"/>
      <c r="J32" s="29"/>
      <c r="K32" s="89"/>
      <c r="L32" s="29"/>
      <c r="M32" s="55"/>
      <c r="N32" s="52" t="str">
        <f t="shared" si="0"/>
        <v/>
      </c>
      <c r="O32" s="53" t="str">
        <f>IF($Q32=2,"",IF($R32=0,"EXCLUÍDO",IF($Q32=0,"",IF($N32="","",ROUND(SUMIFS($N$18:$N32,$Q$18:$Q32,1)/COUNTIF($Q$18:$Q32,1),1)))))</f>
        <v/>
      </c>
      <c r="Q32" s="86">
        <f t="shared" si="4"/>
        <v>0</v>
      </c>
      <c r="R32" s="54">
        <f t="shared" si="2"/>
        <v>2</v>
      </c>
      <c r="S32" s="87" t="str">
        <f t="shared" si="3"/>
        <v/>
      </c>
      <c r="T32" s="113" t="str">
        <f>IF($G32=0,"",IF(COUNTIF($G$18:$G32,$G32)&gt;1,"«« Veículo repetido",""))</f>
        <v/>
      </c>
      <c r="U32" s="113"/>
      <c r="V32" s="113"/>
      <c r="W32" s="113"/>
      <c r="X32" s="113"/>
    </row>
    <row r="33" spans="3:24" s="49" customFormat="1" ht="18.95" customHeight="1" x14ac:dyDescent="0.25">
      <c r="C33" s="51">
        <v>16</v>
      </c>
      <c r="D33" s="84"/>
      <c r="E33" s="85"/>
      <c r="F33" s="55"/>
      <c r="G33" s="32"/>
      <c r="H33" s="30"/>
      <c r="I33" s="29"/>
      <c r="J33" s="29"/>
      <c r="K33" s="89"/>
      <c r="L33" s="29"/>
      <c r="M33" s="55"/>
      <c r="N33" s="52" t="str">
        <f t="shared" si="0"/>
        <v/>
      </c>
      <c r="O33" s="53" t="str">
        <f>IF($Q33=2,"",IF($R33=0,"EXCLUÍDO",IF($Q33=0,"",IF($N33="","",ROUND(SUMIFS($N$18:$N33,$Q$18:$Q33,1)/COUNTIF($Q$18:$Q33,1),1)))))</f>
        <v/>
      </c>
      <c r="Q33" s="86">
        <f t="shared" si="4"/>
        <v>0</v>
      </c>
      <c r="R33" s="54">
        <f t="shared" si="2"/>
        <v>2</v>
      </c>
      <c r="S33" s="87" t="str">
        <f t="shared" si="3"/>
        <v/>
      </c>
      <c r="T33" s="113" t="str">
        <f>IF($G33=0,"",IF(COUNTIF($G$18:$G33,$G33)&gt;1,"«« Veículo repetido",""))</f>
        <v/>
      </c>
      <c r="U33" s="113"/>
      <c r="V33" s="113"/>
      <c r="W33" s="113"/>
      <c r="X33" s="113"/>
    </row>
    <row r="34" spans="3:24" s="49" customFormat="1" ht="18.95" customHeight="1" x14ac:dyDescent="0.25">
      <c r="C34" s="51">
        <v>17</v>
      </c>
      <c r="D34" s="84"/>
      <c r="E34" s="85"/>
      <c r="F34" s="55"/>
      <c r="G34" s="32"/>
      <c r="H34" s="30"/>
      <c r="I34" s="29"/>
      <c r="J34" s="29"/>
      <c r="K34" s="89"/>
      <c r="L34" s="29"/>
      <c r="M34" s="55"/>
      <c r="N34" s="52" t="str">
        <f t="shared" si="0"/>
        <v/>
      </c>
      <c r="O34" s="53" t="str">
        <f>IF($Q34=2,"",IF($R34=0,"EXCLUÍDO",IF($Q34=0,"",IF($N34="","",ROUND(SUMIFS($N$18:$N34,$Q$18:$Q34,1)/COUNTIF($Q$18:$Q34,1),1)))))</f>
        <v/>
      </c>
      <c r="Q34" s="86">
        <f t="shared" si="4"/>
        <v>0</v>
      </c>
      <c r="R34" s="54">
        <f t="shared" si="2"/>
        <v>2</v>
      </c>
      <c r="S34" s="87" t="str">
        <f t="shared" si="3"/>
        <v/>
      </c>
      <c r="T34" s="113" t="str">
        <f>IF($G34=0,"",IF(COUNTIF($G$18:$G34,$G34)&gt;1,"«« Veículo repetido",""))</f>
        <v/>
      </c>
      <c r="U34" s="113"/>
      <c r="V34" s="113"/>
      <c r="W34" s="113"/>
      <c r="X34" s="113"/>
    </row>
    <row r="35" spans="3:24" ht="3.75" customHeight="1" x14ac:dyDescent="0.2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3:24" ht="18.75" x14ac:dyDescent="0.2">
      <c r="C36" s="112" t="s">
        <v>74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59"/>
      <c r="N36" s="53" t="str">
        <f>IF(COUNTIF($Q$18:$Q$34,0)&gt;0,"",IF(COUNTIF($Q$18:$Q$34,3)&gt;0,"",ROUND(SUM($N$18:$N$34),1)))</f>
        <v/>
      </c>
      <c r="O36" s="53" t="str">
        <f>IF(COUNTIF($Q$18:$Q$34,0)&gt;0,"",IF(COUNTIF($Q$18:$Q$34,3)&gt;0,"",SUM($N$18:$N$34)/COUNTIF($Q$18:$Q$34,1)))</f>
        <v/>
      </c>
    </row>
    <row r="37" spans="3:24" ht="13.5" customHeight="1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3:24" ht="23.25" x14ac:dyDescent="0.25">
      <c r="C38" s="96" t="s">
        <v>44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  <row r="39" spans="3:24" s="43" customFormat="1" ht="8.25" customHeight="1" x14ac:dyDescent="0.25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Q39" s="61"/>
    </row>
    <row r="40" spans="3:24" s="43" customFormat="1" ht="18.75" x14ac:dyDescent="0.25">
      <c r="C40" s="103" t="s">
        <v>55</v>
      </c>
      <c r="D40" s="103"/>
      <c r="E40" s="103"/>
      <c r="F40" s="103"/>
      <c r="G40" s="103"/>
      <c r="H40" s="62">
        <v>0.2</v>
      </c>
      <c r="I40" s="60"/>
      <c r="J40" s="41"/>
      <c r="K40" s="41"/>
      <c r="M40" s="60"/>
      <c r="N40" s="60"/>
      <c r="O40" s="60"/>
      <c r="Q40" s="61"/>
    </row>
    <row r="41" spans="3:24" s="43" customFormat="1" ht="5.0999999999999996" customHeight="1" x14ac:dyDescent="0.25">
      <c r="C41" s="60"/>
      <c r="D41" s="60"/>
      <c r="L41" s="60"/>
      <c r="M41" s="60"/>
      <c r="N41" s="60"/>
      <c r="O41" s="60"/>
      <c r="Q41" s="61"/>
    </row>
    <row r="42" spans="3:24" s="43" customFormat="1" ht="18.75" x14ac:dyDescent="0.25">
      <c r="C42" s="103" t="s">
        <v>58</v>
      </c>
      <c r="D42" s="103"/>
      <c r="E42" s="103"/>
      <c r="F42" s="103"/>
      <c r="G42" s="103"/>
      <c r="H42" s="63">
        <v>96</v>
      </c>
      <c r="I42" s="60" t="s">
        <v>71</v>
      </c>
      <c r="J42" s="41"/>
      <c r="K42" s="41"/>
      <c r="L42" s="111"/>
      <c r="M42" s="111"/>
      <c r="N42" s="111"/>
      <c r="O42" s="111"/>
      <c r="Q42" s="61"/>
    </row>
    <row r="43" spans="3:24" s="43" customFormat="1" ht="5.0999999999999996" customHeight="1" x14ac:dyDescent="0.25">
      <c r="C43" s="60"/>
      <c r="D43" s="60"/>
      <c r="L43" s="60"/>
      <c r="M43" s="60"/>
      <c r="N43" s="60"/>
      <c r="O43" s="60"/>
      <c r="Q43" s="61"/>
    </row>
    <row r="44" spans="3:24" s="43" customFormat="1" ht="18.75" x14ac:dyDescent="0.25">
      <c r="C44" s="103" t="s">
        <v>72</v>
      </c>
      <c r="D44" s="103"/>
      <c r="E44" s="103"/>
      <c r="F44" s="103"/>
      <c r="G44" s="103"/>
      <c r="H44" s="64" t="str">
        <f>IF(COUNTIF($O$18:$O$34,"EXCLUÍDO")&gt;0,"EXCLUÍDA",O36)</f>
        <v/>
      </c>
      <c r="I44" s="105" t="str">
        <f>IF(COUNTIF($T$18:$X$34,"«« Veículo repetido")&gt;0,"«« PROPOSTA EXCLUÍDA: Viatura proposta repetida",IF(COUNTIF($O$18:$O$34,"excluído")&gt;0,"«« PROPOSTA EXCLUÍDA: Idade de viatura proposta superior ao Valor Base fixado no Caderno de encargos","MESES"))</f>
        <v>MESES</v>
      </c>
      <c r="J44" s="106"/>
      <c r="K44" s="106"/>
      <c r="L44" s="106"/>
      <c r="M44" s="106"/>
      <c r="N44" s="106"/>
      <c r="O44" s="106"/>
      <c r="Q44" s="61"/>
    </row>
    <row r="45" spans="3:24" s="43" customFormat="1" ht="5.0999999999999996" customHeight="1" x14ac:dyDescent="0.25">
      <c r="C45" s="60"/>
      <c r="D45" s="60"/>
      <c r="L45" s="60"/>
      <c r="M45" s="60"/>
      <c r="N45" s="60"/>
      <c r="O45" s="60"/>
      <c r="Q45" s="61"/>
    </row>
    <row r="46" spans="3:24" s="43" customFormat="1" ht="18.75" x14ac:dyDescent="0.25">
      <c r="C46" s="103" t="s">
        <v>56</v>
      </c>
      <c r="D46" s="103"/>
      <c r="E46" s="103"/>
      <c r="F46" s="103"/>
      <c r="G46" s="103"/>
      <c r="H46" s="107" t="str">
        <f>IF($H$44="","",(-($H$44/H42)*99)+100)</f>
        <v/>
      </c>
      <c r="I46" s="108"/>
      <c r="J46" s="41"/>
      <c r="K46" s="41"/>
      <c r="M46" s="60"/>
      <c r="N46" s="60"/>
      <c r="O46" s="60"/>
      <c r="Q46" s="61"/>
    </row>
    <row r="47" spans="3:24" s="43" customFormat="1" ht="5.0999999999999996" customHeight="1" x14ac:dyDescent="0.25">
      <c r="C47" s="60"/>
      <c r="D47" s="60"/>
      <c r="L47" s="60"/>
      <c r="M47" s="60"/>
      <c r="N47" s="60"/>
      <c r="O47" s="60"/>
      <c r="Q47" s="61"/>
    </row>
    <row r="48" spans="3:24" s="43" customFormat="1" ht="24" customHeight="1" x14ac:dyDescent="0.25">
      <c r="C48" s="103" t="s">
        <v>54</v>
      </c>
      <c r="D48" s="103"/>
      <c r="E48" s="103"/>
      <c r="F48" s="103"/>
      <c r="G48" s="103"/>
      <c r="H48" s="109" t="str">
        <f>IF($H$46="","",($H$40/100)*$H$46)</f>
        <v/>
      </c>
      <c r="I48" s="110"/>
      <c r="J48" s="41"/>
      <c r="K48" s="41"/>
      <c r="M48" s="60"/>
      <c r="N48" s="60"/>
      <c r="O48" s="60"/>
      <c r="Q48" s="61"/>
    </row>
    <row r="49" spans="3:17" s="43" customFormat="1" ht="15" x14ac:dyDescent="0.25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Q49" s="61"/>
    </row>
  </sheetData>
  <sheetProtection algorithmName="SHA-512" hashValue="qm+yYDBejyxkGw4hIOWfi19DzeTWRKWC7/NctLsqtqzU3fXWuMAp3uIRty3MrhtICUE8im6xa+uHGvq8vMpnBw==" saltValue="GhcuuWJlukX+Cj+ePL9bJw==" spinCount="100000" sheet="1" formatCells="0" selectLockedCells="1"/>
  <mergeCells count="53">
    <mergeCell ref="T25:X25"/>
    <mergeCell ref="T18:X18"/>
    <mergeCell ref="T21:X21"/>
    <mergeCell ref="S16:S17"/>
    <mergeCell ref="N13:O13"/>
    <mergeCell ref="N16:N17"/>
    <mergeCell ref="O16:O17"/>
    <mergeCell ref="T22:X22"/>
    <mergeCell ref="T33:X33"/>
    <mergeCell ref="T34:X34"/>
    <mergeCell ref="K16:K17"/>
    <mergeCell ref="T30:X30"/>
    <mergeCell ref="T31:X31"/>
    <mergeCell ref="T32:X32"/>
    <mergeCell ref="L16:L17"/>
    <mergeCell ref="T26:X26"/>
    <mergeCell ref="T19:X19"/>
    <mergeCell ref="T20:X20"/>
    <mergeCell ref="T27:X27"/>
    <mergeCell ref="T28:X28"/>
    <mergeCell ref="T29:X29"/>
    <mergeCell ref="T23:X23"/>
    <mergeCell ref="T24:X24"/>
    <mergeCell ref="L42:O42"/>
    <mergeCell ref="C38:O38"/>
    <mergeCell ref="C40:G40"/>
    <mergeCell ref="C42:G42"/>
    <mergeCell ref="C36:L36"/>
    <mergeCell ref="I44:O44"/>
    <mergeCell ref="H46:I46"/>
    <mergeCell ref="H48:I48"/>
    <mergeCell ref="C44:G44"/>
    <mergeCell ref="C46:G46"/>
    <mergeCell ref="C48:G48"/>
    <mergeCell ref="C2:O2"/>
    <mergeCell ref="C3:O3"/>
    <mergeCell ref="C4:O4"/>
    <mergeCell ref="E6:N6"/>
    <mergeCell ref="C7:D7"/>
    <mergeCell ref="E7:N7"/>
    <mergeCell ref="C13:E13"/>
    <mergeCell ref="G16:H16"/>
    <mergeCell ref="G14:L14"/>
    <mergeCell ref="G13:L13"/>
    <mergeCell ref="C9:O9"/>
    <mergeCell ref="C14:E14"/>
    <mergeCell ref="I16:I17"/>
    <mergeCell ref="C16:C17"/>
    <mergeCell ref="D16:D17"/>
    <mergeCell ref="E16:E17"/>
    <mergeCell ref="J11:N11"/>
    <mergeCell ref="N14:O14"/>
    <mergeCell ref="J16:J17"/>
  </mergeCells>
  <phoneticPr fontId="9" type="noConversion"/>
  <conditionalFormatting sqref="G18:G34">
    <cfRule type="expression" dxfId="15" priority="4">
      <formula>$T18="«« Veículo repetido"</formula>
    </cfRule>
  </conditionalFormatting>
  <conditionalFormatting sqref="H18:H34">
    <cfRule type="cellIs" dxfId="14" priority="5" operator="greaterThan">
      <formula>$O$11</formula>
    </cfRule>
  </conditionalFormatting>
  <conditionalFormatting sqref="H44">
    <cfRule type="cellIs" dxfId="13" priority="1" operator="equal">
      <formula>"EXCLUÍDA"</formula>
    </cfRule>
  </conditionalFormatting>
  <conditionalFormatting sqref="I44:O44">
    <cfRule type="cellIs" dxfId="12" priority="2" operator="equal">
      <formula>"«« PROPOSTA EXCLUÍDA: Viatura proposta repetida"</formula>
    </cfRule>
    <cfRule type="cellIs" dxfId="11" priority="6" operator="equal">
      <formula>"«« PROPOSTA EXCLUÍDA: Idade de viatura proposta superior ao Valor Base fixado no Caderno de encargos"</formula>
    </cfRule>
  </conditionalFormatting>
  <conditionalFormatting sqref="N18:N34">
    <cfRule type="expression" dxfId="10" priority="7">
      <formula>$O18="EXCLUÍDO"</formula>
    </cfRule>
  </conditionalFormatting>
  <conditionalFormatting sqref="O18:O36 N36">
    <cfRule type="cellIs" dxfId="9" priority="15" operator="equal">
      <formula>0</formula>
    </cfRule>
    <cfRule type="cellIs" dxfId="8" priority="20" operator="equal">
      <formula>"EXCLUÍDO"</formula>
    </cfRule>
  </conditionalFormatting>
  <conditionalFormatting sqref="T18:X34">
    <cfRule type="cellIs" dxfId="7" priority="3" operator="equal">
      <formula>"«« Veículo repetido"</formula>
    </cfRule>
  </conditionalFormatting>
  <dataValidations count="4">
    <dataValidation type="list" allowBlank="1" showInputMessage="1" showErrorMessage="1" sqref="D23:D34" xr:uid="{B5BF586A-4B11-4A20-B12C-172D321EC882}">
      <formula1>SCM</formula1>
    </dataValidation>
    <dataValidation type="list" allowBlank="1" showInputMessage="1" showErrorMessage="1" sqref="E23:E34" xr:uid="{F13A00AE-F172-4DD1-88D6-9270D8ECBDC2}">
      <formula1>TIPOLOGIA</formula1>
    </dataValidation>
    <dataValidation allowBlank="1" showInputMessage="1" showErrorMessage="1" promptTitle="DATA:" prompt="Formato: mm/aaaa" sqref="H18:H34" xr:uid="{41342BE4-D655-414A-A131-411F95681114}"/>
    <dataValidation type="list" allowBlank="1" showInputMessage="1" showErrorMessage="1" sqref="L18:L34" xr:uid="{3135173E-471A-41F4-BDFE-521F4B32687D}">
      <formula1>COMBUSTIVEL</formula1>
    </dataValidation>
  </dataValidations>
  <printOptions horizontalCentered="1"/>
  <pageMargins left="0.35" right="0.24" top="0.4" bottom="0.36" header="0.19685039370078741" footer="0.23622047244094491"/>
  <pageSetup paperSize="9" scale="65" orientation="portrait" r:id="rId1"/>
  <ignoredErrors>
    <ignoredError sqref="U18:X18 T19:X3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9344-FBCC-46C1-8794-7F54352EC724}">
  <dimension ref="C1:P47"/>
  <sheetViews>
    <sheetView showGridLines="0" workbookViewId="0">
      <pane ySplit="8" topLeftCell="A9" activePane="bottomLeft" state="frozen"/>
      <selection pane="bottomLeft" activeCell="G44" sqref="G44:H44"/>
    </sheetView>
  </sheetViews>
  <sheetFormatPr defaultRowHeight="12.75" x14ac:dyDescent="0.25"/>
  <cols>
    <col min="1" max="1" width="2.28515625" style="33" customWidth="1"/>
    <col min="2" max="2" width="0.85546875" style="33" customWidth="1"/>
    <col min="3" max="3" width="6.140625" style="33" customWidth="1"/>
    <col min="4" max="4" width="9" style="33" customWidth="1"/>
    <col min="5" max="5" width="11.28515625" style="33" bestFit="1" customWidth="1"/>
    <col min="6" max="7" width="12.7109375" style="33" customWidth="1"/>
    <col min="8" max="8" width="15.5703125" style="33" customWidth="1"/>
    <col min="9" max="10" width="18" style="33" customWidth="1"/>
    <col min="11" max="11" width="19" style="33" customWidth="1"/>
    <col min="12" max="12" width="0.42578125" style="33" customWidth="1"/>
    <col min="13" max="13" width="14.42578125" style="33" customWidth="1"/>
    <col min="14" max="14" width="0.85546875" style="33" customWidth="1"/>
    <col min="15" max="15" width="9.140625" style="34" hidden="1" customWidth="1"/>
    <col min="16" max="16" width="9.140625" style="33" hidden="1" customWidth="1"/>
    <col min="17" max="16384" width="9.140625" style="33"/>
  </cols>
  <sheetData>
    <row r="1" spans="3:16" ht="8.25" customHeight="1" x14ac:dyDescent="0.25"/>
    <row r="2" spans="3:16" ht="47.1" customHeight="1" x14ac:dyDescent="0.25">
      <c r="C2" s="97" t="s">
        <v>93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3:16" s="36" customFormat="1" ht="26.25" x14ac:dyDescent="0.25">
      <c r="C3" s="98" t="s">
        <v>36</v>
      </c>
      <c r="D3" s="98"/>
      <c r="E3" s="98"/>
      <c r="F3" s="98"/>
      <c r="G3" s="98"/>
      <c r="H3" s="98"/>
      <c r="I3" s="98"/>
      <c r="J3" s="98"/>
      <c r="K3" s="98"/>
      <c r="L3" s="98"/>
      <c r="M3" s="98"/>
      <c r="O3" s="37"/>
    </row>
    <row r="4" spans="3:16" ht="23.25" x14ac:dyDescent="0.25">
      <c r="C4" s="99" t="s">
        <v>78</v>
      </c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3:16" ht="3.75" customHeight="1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3:16" s="40" customFormat="1" ht="12.75" customHeight="1" x14ac:dyDescent="0.2">
      <c r="C6" s="38"/>
      <c r="D6" s="38"/>
      <c r="E6" s="102" t="s">
        <v>39</v>
      </c>
      <c r="F6" s="102"/>
      <c r="G6" s="102"/>
      <c r="H6" s="102"/>
      <c r="I6" s="102"/>
      <c r="J6" s="102"/>
      <c r="K6" s="102"/>
      <c r="L6" s="102"/>
      <c r="M6" s="39" t="s">
        <v>46</v>
      </c>
    </row>
    <row r="7" spans="3:16" s="43" customFormat="1" ht="15" x14ac:dyDescent="0.25">
      <c r="C7" s="103" t="s">
        <v>38</v>
      </c>
      <c r="D7" s="103"/>
      <c r="E7" s="104">
        <f>'ANEXO II - PTP'!$E$7</f>
        <v>0</v>
      </c>
      <c r="F7" s="104"/>
      <c r="G7" s="104"/>
      <c r="H7" s="104"/>
      <c r="I7" s="104"/>
      <c r="J7" s="104"/>
      <c r="K7" s="104"/>
      <c r="L7" s="104"/>
      <c r="M7" s="42">
        <f>'ANEXO II - PTP'!$R$7</f>
        <v>0</v>
      </c>
    </row>
    <row r="8" spans="3:16" ht="9" customHeight="1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3:16" ht="23.25" x14ac:dyDescent="0.25">
      <c r="C9" s="96" t="s">
        <v>43</v>
      </c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3:16" ht="9.9499999999999993" customHeight="1" x14ac:dyDescent="0.25"/>
    <row r="11" spans="3:16" s="40" customFormat="1" ht="27.75" customHeight="1" thickBot="1" x14ac:dyDescent="0.25">
      <c r="C11" s="90" t="s">
        <v>61</v>
      </c>
      <c r="D11" s="90"/>
      <c r="E11" s="90"/>
      <c r="F11" s="90" t="s">
        <v>63</v>
      </c>
      <c r="G11" s="90"/>
      <c r="H11" s="90"/>
      <c r="I11" s="90"/>
      <c r="J11" s="90"/>
      <c r="K11" s="90"/>
      <c r="L11" s="46"/>
      <c r="M11" s="38" t="s">
        <v>90</v>
      </c>
      <c r="O11" s="47"/>
    </row>
    <row r="12" spans="3:16" ht="6.75" customHeight="1" x14ac:dyDescent="0.2">
      <c r="C12" s="93"/>
      <c r="D12" s="94"/>
      <c r="E12" s="95"/>
      <c r="F12" s="93"/>
      <c r="G12" s="94"/>
      <c r="H12" s="94"/>
      <c r="I12" s="94"/>
      <c r="J12" s="94"/>
      <c r="K12" s="95"/>
      <c r="L12" s="46"/>
      <c r="M12" s="65"/>
    </row>
    <row r="13" spans="3:16" ht="3.75" customHeight="1" x14ac:dyDescent="0.25"/>
    <row r="14" spans="3:16" s="49" customFormat="1" ht="15.75" x14ac:dyDescent="0.25">
      <c r="C14" s="116" t="s">
        <v>59</v>
      </c>
      <c r="D14" s="116" t="s">
        <v>2</v>
      </c>
      <c r="E14" s="116" t="s">
        <v>1</v>
      </c>
      <c r="F14" s="91" t="s">
        <v>62</v>
      </c>
      <c r="G14" s="92"/>
      <c r="H14" s="114" t="s">
        <v>66</v>
      </c>
      <c r="I14" s="114" t="s">
        <v>67</v>
      </c>
      <c r="J14" s="114" t="s">
        <v>70</v>
      </c>
      <c r="K14" s="114" t="s">
        <v>79</v>
      </c>
      <c r="L14" s="33"/>
      <c r="M14" s="125" t="s">
        <v>85</v>
      </c>
      <c r="O14" s="50"/>
    </row>
    <row r="15" spans="3:16" s="49" customFormat="1" ht="15.75" x14ac:dyDescent="0.25">
      <c r="C15" s="117"/>
      <c r="D15" s="117"/>
      <c r="E15" s="117"/>
      <c r="F15" s="48" t="s">
        <v>64</v>
      </c>
      <c r="G15" s="48" t="s">
        <v>65</v>
      </c>
      <c r="H15" s="115"/>
      <c r="I15" s="115"/>
      <c r="J15" s="115"/>
      <c r="K15" s="115"/>
      <c r="L15" s="33"/>
      <c r="M15" s="126"/>
      <c r="O15" s="50" t="s">
        <v>60</v>
      </c>
      <c r="P15" s="50" t="s">
        <v>86</v>
      </c>
    </row>
    <row r="16" spans="3:16" s="49" customFormat="1" ht="18.95" customHeight="1" x14ac:dyDescent="0.25">
      <c r="C16" s="56">
        <v>1</v>
      </c>
      <c r="D16" s="57" t="str">
        <f>'ANEXO II - IVP'!D18</f>
        <v>CSTC</v>
      </c>
      <c r="E16" s="58" t="str">
        <f>'ANEXO II - IVP'!E18</f>
        <v>T1</v>
      </c>
      <c r="F16" s="66">
        <f>'ANEXO II - IVP'!G18</f>
        <v>0</v>
      </c>
      <c r="G16" s="67">
        <f>'ANEXO II - IVP'!H18</f>
        <v>0</v>
      </c>
      <c r="H16" s="68">
        <f>'ANEXO II - IVP'!I18</f>
        <v>0</v>
      </c>
      <c r="I16" s="68">
        <f>'ANEXO II - IVP'!J18</f>
        <v>0</v>
      </c>
      <c r="J16" s="68">
        <f>'ANEXO II - IVP'!K18</f>
        <v>0</v>
      </c>
      <c r="K16" s="68">
        <f>'ANEXO II - IVP'!L18</f>
        <v>0</v>
      </c>
      <c r="L16" s="55"/>
      <c r="M16" s="52" t="str">
        <f>IF(COUNTIF($D16:$K16,0)&gt;0,"",IF($O16=3,"EXCLUÍDO",IF($K16=0,"",IF($K16="ELETRICIDADE",1,0))))</f>
        <v/>
      </c>
      <c r="O16" s="54">
        <f>IF($E$7=0,0,IF($M$7=0,0,IF($D16=0,2,IF(COUNTIF($D16:$K16,0)&gt;0,3,1))))</f>
        <v>0</v>
      </c>
      <c r="P16" s="54">
        <f t="shared" ref="P16:P31" si="0">IF(COUNTIF($C16:$K16,0)&gt;0,0,1)</f>
        <v>0</v>
      </c>
    </row>
    <row r="17" spans="3:16" s="49" customFormat="1" ht="18.95" customHeight="1" x14ac:dyDescent="0.25">
      <c r="C17" s="56">
        <v>2</v>
      </c>
      <c r="D17" s="57" t="str">
        <f>'ANEXO II - IVP'!D19</f>
        <v>CSTC</v>
      </c>
      <c r="E17" s="58" t="str">
        <f>'ANEXO II - IVP'!E19</f>
        <v>T1</v>
      </c>
      <c r="F17" s="66">
        <f>'ANEXO II - IVP'!G19</f>
        <v>0</v>
      </c>
      <c r="G17" s="67">
        <f>'ANEXO II - IVP'!H19</f>
        <v>0</v>
      </c>
      <c r="H17" s="68">
        <f>'ANEXO II - IVP'!I19</f>
        <v>0</v>
      </c>
      <c r="I17" s="68">
        <f>'ANEXO II - IVP'!J19</f>
        <v>0</v>
      </c>
      <c r="J17" s="68">
        <f>'ANEXO II - IVP'!K19</f>
        <v>0</v>
      </c>
      <c r="K17" s="68">
        <f>'ANEXO II - IVP'!L19</f>
        <v>0</v>
      </c>
      <c r="L17" s="55"/>
      <c r="M17" s="52" t="str">
        <f t="shared" ref="M17:M20" si="1">IF(COUNTIF($D17:$K17,0)&gt;0,"",IF($O17=3,"EXCLUÍDO",IF($K17=0,"",IF($K17="ELETRICIDADE",1,0))))</f>
        <v/>
      </c>
      <c r="O17" s="54">
        <f t="shared" ref="O17:O32" si="2">IF($E$7=0,0,IF($M$7=0,0,IF($D17=0,2,IF(COUNTIF($D17:$K17,0)&gt;0,3,1))))</f>
        <v>0</v>
      </c>
      <c r="P17" s="54">
        <f t="shared" si="0"/>
        <v>0</v>
      </c>
    </row>
    <row r="18" spans="3:16" s="49" customFormat="1" ht="18.95" customHeight="1" x14ac:dyDescent="0.25">
      <c r="C18" s="56">
        <v>3</v>
      </c>
      <c r="D18" s="57" t="str">
        <f>'ANEXO II - IVP'!D20</f>
        <v>CSTC</v>
      </c>
      <c r="E18" s="58" t="str">
        <f>'ANEXO II - IVP'!E20</f>
        <v>T1</v>
      </c>
      <c r="F18" s="66">
        <f>'ANEXO II - IVP'!G20</f>
        <v>0</v>
      </c>
      <c r="G18" s="67">
        <f>'ANEXO II - IVP'!H20</f>
        <v>0</v>
      </c>
      <c r="H18" s="68">
        <f>'ANEXO II - IVP'!I20</f>
        <v>0</v>
      </c>
      <c r="I18" s="68">
        <f>'ANEXO II - IVP'!J20</f>
        <v>0</v>
      </c>
      <c r="J18" s="68">
        <f>'ANEXO II - IVP'!K20</f>
        <v>0</v>
      </c>
      <c r="K18" s="68">
        <f>'ANEXO II - IVP'!L20</f>
        <v>0</v>
      </c>
      <c r="L18" s="55"/>
      <c r="M18" s="52" t="str">
        <f t="shared" si="1"/>
        <v/>
      </c>
      <c r="O18" s="54">
        <f t="shared" si="2"/>
        <v>0</v>
      </c>
      <c r="P18" s="54">
        <f t="shared" si="0"/>
        <v>0</v>
      </c>
    </row>
    <row r="19" spans="3:16" s="49" customFormat="1" ht="18.95" customHeight="1" x14ac:dyDescent="0.25">
      <c r="C19" s="56">
        <v>4</v>
      </c>
      <c r="D19" s="57" t="str">
        <f>'ANEXO II - IVP'!D21</f>
        <v>CSTC</v>
      </c>
      <c r="E19" s="58" t="str">
        <f>'ANEXO II - IVP'!E21</f>
        <v>T1</v>
      </c>
      <c r="F19" s="66">
        <f>'ANEXO II - IVP'!G21</f>
        <v>0</v>
      </c>
      <c r="G19" s="67">
        <f>'ANEXO II - IVP'!H21</f>
        <v>0</v>
      </c>
      <c r="H19" s="68">
        <f>'ANEXO II - IVP'!I21</f>
        <v>0</v>
      </c>
      <c r="I19" s="68">
        <f>'ANEXO II - IVP'!J21</f>
        <v>0</v>
      </c>
      <c r="J19" s="68">
        <f>'ANEXO II - IVP'!K21</f>
        <v>0</v>
      </c>
      <c r="K19" s="68">
        <f>'ANEXO II - IVP'!L21</f>
        <v>0</v>
      </c>
      <c r="L19" s="55"/>
      <c r="M19" s="52" t="str">
        <f t="shared" si="1"/>
        <v/>
      </c>
      <c r="O19" s="54">
        <f t="shared" si="2"/>
        <v>0</v>
      </c>
      <c r="P19" s="54">
        <f t="shared" si="0"/>
        <v>0</v>
      </c>
    </row>
    <row r="20" spans="3:16" s="49" customFormat="1" ht="18.95" customHeight="1" x14ac:dyDescent="0.25">
      <c r="C20" s="56">
        <v>5</v>
      </c>
      <c r="D20" s="57" t="str">
        <f>'ANEXO II - IVP'!D22</f>
        <v>CSTC</v>
      </c>
      <c r="E20" s="58" t="str">
        <f>'ANEXO II - IVP'!E22</f>
        <v>T4</v>
      </c>
      <c r="F20" s="66">
        <f>'ANEXO II - IVP'!G22</f>
        <v>0</v>
      </c>
      <c r="G20" s="67">
        <f>'ANEXO II - IVP'!H22</f>
        <v>0</v>
      </c>
      <c r="H20" s="68">
        <f>'ANEXO II - IVP'!I22</f>
        <v>0</v>
      </c>
      <c r="I20" s="68">
        <f>'ANEXO II - IVP'!J22</f>
        <v>0</v>
      </c>
      <c r="J20" s="68">
        <f>'ANEXO II - IVP'!K22</f>
        <v>0</v>
      </c>
      <c r="K20" s="68">
        <f>'ANEXO II - IVP'!L22</f>
        <v>0</v>
      </c>
      <c r="L20" s="55"/>
      <c r="M20" s="52" t="str">
        <f t="shared" si="1"/>
        <v/>
      </c>
      <c r="O20" s="54">
        <f t="shared" si="2"/>
        <v>0</v>
      </c>
      <c r="P20" s="54">
        <f t="shared" si="0"/>
        <v>0</v>
      </c>
    </row>
    <row r="21" spans="3:16" s="49" customFormat="1" ht="18.95" customHeight="1" x14ac:dyDescent="0.25">
      <c r="C21" s="51">
        <v>6</v>
      </c>
      <c r="D21" s="57">
        <f>'ANEXO II - IVP'!D23</f>
        <v>0</v>
      </c>
      <c r="E21" s="58">
        <f>'ANEXO II - IVP'!E23</f>
        <v>0</v>
      </c>
      <c r="F21" s="66">
        <f>'ANEXO II - IVP'!G23</f>
        <v>0</v>
      </c>
      <c r="G21" s="67">
        <f>'ANEXO II - IVP'!H23</f>
        <v>0</v>
      </c>
      <c r="H21" s="68">
        <f>'ANEXO II - IVP'!I23</f>
        <v>0</v>
      </c>
      <c r="I21" s="68">
        <f>'ANEXO II - IVP'!J23</f>
        <v>0</v>
      </c>
      <c r="J21" s="68">
        <f>'ANEXO II - IVP'!K23</f>
        <v>0</v>
      </c>
      <c r="K21" s="68">
        <f>'ANEXO II - IVP'!L23</f>
        <v>0</v>
      </c>
      <c r="L21" s="55"/>
      <c r="M21" s="52" t="str">
        <f>IF(COUNTIF($D21:$K21,0)&gt;0,"",IF($O21=3,"EXCLUÍDO",IF($K21=0,"",IF($K21="ELETRICIDADE",1,0))))</f>
        <v/>
      </c>
      <c r="O21" s="54">
        <f>IF($E$7=0,0,IF($M$7=0,0,IF($D21=0,2,IF(COUNTIF($D21:$K21,0)&gt;0,3,1))))</f>
        <v>0</v>
      </c>
      <c r="P21" s="54">
        <f t="shared" si="0"/>
        <v>0</v>
      </c>
    </row>
    <row r="22" spans="3:16" s="49" customFormat="1" ht="18.95" customHeight="1" x14ac:dyDescent="0.25">
      <c r="C22" s="51">
        <v>7</v>
      </c>
      <c r="D22" s="57">
        <f>'ANEXO II - IVP'!D24</f>
        <v>0</v>
      </c>
      <c r="E22" s="58">
        <f>'ANEXO II - IVP'!E24</f>
        <v>0</v>
      </c>
      <c r="F22" s="66">
        <f>'ANEXO II - IVP'!G24</f>
        <v>0</v>
      </c>
      <c r="G22" s="67">
        <f>'ANEXO II - IVP'!H24</f>
        <v>0</v>
      </c>
      <c r="H22" s="68">
        <f>'ANEXO II - IVP'!I24</f>
        <v>0</v>
      </c>
      <c r="I22" s="68">
        <f>'ANEXO II - IVP'!J24</f>
        <v>0</v>
      </c>
      <c r="J22" s="68">
        <f>'ANEXO II - IVP'!K24</f>
        <v>0</v>
      </c>
      <c r="K22" s="68">
        <f>'ANEXO II - IVP'!L24</f>
        <v>0</v>
      </c>
      <c r="L22" s="55"/>
      <c r="M22" s="52" t="str">
        <f t="shared" ref="M22:M32" si="3">IF(COUNTIF($D22:$K22,0)&gt;0,"",IF($O22=3,"EXCLUÍDO",IF($K22=0,"",IF($K22="ELETRICIDADE",1,0))))</f>
        <v/>
      </c>
      <c r="O22" s="54">
        <f t="shared" si="2"/>
        <v>0</v>
      </c>
      <c r="P22" s="54">
        <f t="shared" si="0"/>
        <v>0</v>
      </c>
    </row>
    <row r="23" spans="3:16" s="49" customFormat="1" ht="18.95" customHeight="1" x14ac:dyDescent="0.25">
      <c r="C23" s="51">
        <v>8</v>
      </c>
      <c r="D23" s="57">
        <f>'ANEXO II - IVP'!D25</f>
        <v>0</v>
      </c>
      <c r="E23" s="58">
        <f>'ANEXO II - IVP'!E25</f>
        <v>0</v>
      </c>
      <c r="F23" s="66">
        <f>'ANEXO II - IVP'!G25</f>
        <v>0</v>
      </c>
      <c r="G23" s="67">
        <f>'ANEXO II - IVP'!H25</f>
        <v>0</v>
      </c>
      <c r="H23" s="68">
        <f>'ANEXO II - IVP'!I25</f>
        <v>0</v>
      </c>
      <c r="I23" s="68">
        <f>'ANEXO II - IVP'!J25</f>
        <v>0</v>
      </c>
      <c r="J23" s="68">
        <f>'ANEXO II - IVP'!K25</f>
        <v>0</v>
      </c>
      <c r="K23" s="68">
        <f>'ANEXO II - IVP'!L25</f>
        <v>0</v>
      </c>
      <c r="L23" s="55"/>
      <c r="M23" s="52" t="str">
        <f t="shared" si="3"/>
        <v/>
      </c>
      <c r="O23" s="54">
        <f t="shared" si="2"/>
        <v>0</v>
      </c>
      <c r="P23" s="54">
        <f t="shared" si="0"/>
        <v>0</v>
      </c>
    </row>
    <row r="24" spans="3:16" s="49" customFormat="1" ht="18.95" customHeight="1" x14ac:dyDescent="0.25">
      <c r="C24" s="51">
        <v>9</v>
      </c>
      <c r="D24" s="57">
        <f>'ANEXO II - IVP'!D26</f>
        <v>0</v>
      </c>
      <c r="E24" s="58">
        <f>'ANEXO II - IVP'!E26</f>
        <v>0</v>
      </c>
      <c r="F24" s="66">
        <f>'ANEXO II - IVP'!G26</f>
        <v>0</v>
      </c>
      <c r="G24" s="67">
        <f>'ANEXO II - IVP'!H26</f>
        <v>0</v>
      </c>
      <c r="H24" s="68">
        <f>'ANEXO II - IVP'!I26</f>
        <v>0</v>
      </c>
      <c r="I24" s="68">
        <f>'ANEXO II - IVP'!J26</f>
        <v>0</v>
      </c>
      <c r="J24" s="68">
        <f>'ANEXO II - IVP'!K26</f>
        <v>0</v>
      </c>
      <c r="K24" s="68">
        <f>'ANEXO II - IVP'!L26</f>
        <v>0</v>
      </c>
      <c r="L24" s="55"/>
      <c r="M24" s="52" t="str">
        <f t="shared" si="3"/>
        <v/>
      </c>
      <c r="O24" s="54">
        <f t="shared" si="2"/>
        <v>0</v>
      </c>
      <c r="P24" s="54">
        <f t="shared" si="0"/>
        <v>0</v>
      </c>
    </row>
    <row r="25" spans="3:16" s="49" customFormat="1" ht="18.95" customHeight="1" x14ac:dyDescent="0.25">
      <c r="C25" s="51">
        <v>10</v>
      </c>
      <c r="D25" s="57">
        <f>'ANEXO II - IVP'!D27</f>
        <v>0</v>
      </c>
      <c r="E25" s="58">
        <f>'ANEXO II - IVP'!E27</f>
        <v>0</v>
      </c>
      <c r="F25" s="66">
        <f>'ANEXO II - IVP'!G27</f>
        <v>0</v>
      </c>
      <c r="G25" s="67">
        <f>'ANEXO II - IVP'!H27</f>
        <v>0</v>
      </c>
      <c r="H25" s="68">
        <f>'ANEXO II - IVP'!I27</f>
        <v>0</v>
      </c>
      <c r="I25" s="68">
        <f>'ANEXO II - IVP'!J27</f>
        <v>0</v>
      </c>
      <c r="J25" s="68">
        <f>'ANEXO II - IVP'!K27</f>
        <v>0</v>
      </c>
      <c r="K25" s="68">
        <f>'ANEXO II - IVP'!L27</f>
        <v>0</v>
      </c>
      <c r="L25" s="55"/>
      <c r="M25" s="52" t="str">
        <f t="shared" si="3"/>
        <v/>
      </c>
      <c r="O25" s="54">
        <f t="shared" si="2"/>
        <v>0</v>
      </c>
      <c r="P25" s="54">
        <f t="shared" si="0"/>
        <v>0</v>
      </c>
    </row>
    <row r="26" spans="3:16" s="49" customFormat="1" ht="18.95" customHeight="1" x14ac:dyDescent="0.25">
      <c r="C26" s="51">
        <v>11</v>
      </c>
      <c r="D26" s="57">
        <f>'ANEXO II - IVP'!D28</f>
        <v>0</v>
      </c>
      <c r="E26" s="58">
        <f>'ANEXO II - IVP'!E28</f>
        <v>0</v>
      </c>
      <c r="F26" s="66">
        <f>'ANEXO II - IVP'!G28</f>
        <v>0</v>
      </c>
      <c r="G26" s="67">
        <f>'ANEXO II - IVP'!H28</f>
        <v>0</v>
      </c>
      <c r="H26" s="68">
        <f>'ANEXO II - IVP'!I28</f>
        <v>0</v>
      </c>
      <c r="I26" s="68">
        <f>'ANEXO II - IVP'!J28</f>
        <v>0</v>
      </c>
      <c r="J26" s="68">
        <f>'ANEXO II - IVP'!K28</f>
        <v>0</v>
      </c>
      <c r="K26" s="68">
        <f>'ANEXO II - IVP'!L28</f>
        <v>0</v>
      </c>
      <c r="L26" s="55"/>
      <c r="M26" s="52" t="str">
        <f t="shared" si="3"/>
        <v/>
      </c>
      <c r="O26" s="54">
        <f t="shared" si="2"/>
        <v>0</v>
      </c>
      <c r="P26" s="54">
        <f t="shared" si="0"/>
        <v>0</v>
      </c>
    </row>
    <row r="27" spans="3:16" s="49" customFormat="1" ht="18.95" customHeight="1" x14ac:dyDescent="0.25">
      <c r="C27" s="51">
        <v>12</v>
      </c>
      <c r="D27" s="57">
        <f>'ANEXO II - IVP'!D29</f>
        <v>0</v>
      </c>
      <c r="E27" s="58">
        <f>'ANEXO II - IVP'!E29</f>
        <v>0</v>
      </c>
      <c r="F27" s="66">
        <f>'ANEXO II - IVP'!G29</f>
        <v>0</v>
      </c>
      <c r="G27" s="67">
        <f>'ANEXO II - IVP'!H29</f>
        <v>0</v>
      </c>
      <c r="H27" s="68">
        <f>'ANEXO II - IVP'!I29</f>
        <v>0</v>
      </c>
      <c r="I27" s="68">
        <f>'ANEXO II - IVP'!J29</f>
        <v>0</v>
      </c>
      <c r="J27" s="68">
        <f>'ANEXO II - IVP'!K29</f>
        <v>0</v>
      </c>
      <c r="K27" s="68">
        <f>'ANEXO II - IVP'!L29</f>
        <v>0</v>
      </c>
      <c r="L27" s="55"/>
      <c r="M27" s="52" t="str">
        <f t="shared" si="3"/>
        <v/>
      </c>
      <c r="O27" s="54">
        <f t="shared" si="2"/>
        <v>0</v>
      </c>
      <c r="P27" s="54">
        <f t="shared" si="0"/>
        <v>0</v>
      </c>
    </row>
    <row r="28" spans="3:16" s="49" customFormat="1" ht="18.95" customHeight="1" x14ac:dyDescent="0.25">
      <c r="C28" s="51">
        <v>13</v>
      </c>
      <c r="D28" s="57">
        <f>'ANEXO II - IVP'!D30</f>
        <v>0</v>
      </c>
      <c r="E28" s="58">
        <f>'ANEXO II - IVP'!E30</f>
        <v>0</v>
      </c>
      <c r="F28" s="66">
        <f>'ANEXO II - IVP'!G30</f>
        <v>0</v>
      </c>
      <c r="G28" s="67">
        <f>'ANEXO II - IVP'!H30</f>
        <v>0</v>
      </c>
      <c r="H28" s="68">
        <f>'ANEXO II - IVP'!I30</f>
        <v>0</v>
      </c>
      <c r="I28" s="68">
        <f>'ANEXO II - IVP'!J30</f>
        <v>0</v>
      </c>
      <c r="J28" s="68">
        <f>'ANEXO II - IVP'!K30</f>
        <v>0</v>
      </c>
      <c r="K28" s="68">
        <f>'ANEXO II - IVP'!L30</f>
        <v>0</v>
      </c>
      <c r="L28" s="55"/>
      <c r="M28" s="52" t="str">
        <f t="shared" si="3"/>
        <v/>
      </c>
      <c r="O28" s="54">
        <f t="shared" si="2"/>
        <v>0</v>
      </c>
      <c r="P28" s="54">
        <f t="shared" si="0"/>
        <v>0</v>
      </c>
    </row>
    <row r="29" spans="3:16" s="49" customFormat="1" ht="18.95" customHeight="1" x14ac:dyDescent="0.25">
      <c r="C29" s="51">
        <v>14</v>
      </c>
      <c r="D29" s="57">
        <f>'ANEXO II - IVP'!D31</f>
        <v>0</v>
      </c>
      <c r="E29" s="58">
        <f>'ANEXO II - IVP'!E31</f>
        <v>0</v>
      </c>
      <c r="F29" s="66">
        <f>'ANEXO II - IVP'!G31</f>
        <v>0</v>
      </c>
      <c r="G29" s="67">
        <f>'ANEXO II - IVP'!H31</f>
        <v>0</v>
      </c>
      <c r="H29" s="68">
        <f>'ANEXO II - IVP'!I31</f>
        <v>0</v>
      </c>
      <c r="I29" s="68">
        <f>'ANEXO II - IVP'!J31</f>
        <v>0</v>
      </c>
      <c r="J29" s="68">
        <f>'ANEXO II - IVP'!K31</f>
        <v>0</v>
      </c>
      <c r="K29" s="68">
        <f>'ANEXO II - IVP'!L31</f>
        <v>0</v>
      </c>
      <c r="L29" s="55"/>
      <c r="M29" s="52" t="str">
        <f t="shared" si="3"/>
        <v/>
      </c>
      <c r="O29" s="54">
        <f t="shared" si="2"/>
        <v>0</v>
      </c>
      <c r="P29" s="54">
        <f t="shared" si="0"/>
        <v>0</v>
      </c>
    </row>
    <row r="30" spans="3:16" s="49" customFormat="1" ht="18.95" customHeight="1" x14ac:dyDescent="0.25">
      <c r="C30" s="51">
        <v>15</v>
      </c>
      <c r="D30" s="57">
        <f>'ANEXO II - IVP'!D32</f>
        <v>0</v>
      </c>
      <c r="E30" s="58">
        <f>'ANEXO II - IVP'!E32</f>
        <v>0</v>
      </c>
      <c r="F30" s="66">
        <f>'ANEXO II - IVP'!G32</f>
        <v>0</v>
      </c>
      <c r="G30" s="67">
        <f>'ANEXO II - IVP'!H32</f>
        <v>0</v>
      </c>
      <c r="H30" s="68">
        <f>'ANEXO II - IVP'!I32</f>
        <v>0</v>
      </c>
      <c r="I30" s="68">
        <f>'ANEXO II - IVP'!J32</f>
        <v>0</v>
      </c>
      <c r="J30" s="68">
        <f>'ANEXO II - IVP'!K32</f>
        <v>0</v>
      </c>
      <c r="K30" s="68">
        <f>'ANEXO II - IVP'!L32</f>
        <v>0</v>
      </c>
      <c r="L30" s="55"/>
      <c r="M30" s="52" t="str">
        <f t="shared" si="3"/>
        <v/>
      </c>
      <c r="O30" s="54">
        <f t="shared" si="2"/>
        <v>0</v>
      </c>
      <c r="P30" s="54">
        <f t="shared" si="0"/>
        <v>0</v>
      </c>
    </row>
    <row r="31" spans="3:16" s="49" customFormat="1" ht="18.95" customHeight="1" x14ac:dyDescent="0.25">
      <c r="C31" s="51">
        <v>16</v>
      </c>
      <c r="D31" s="57">
        <f>'ANEXO II - IVP'!D33</f>
        <v>0</v>
      </c>
      <c r="E31" s="58">
        <f>'ANEXO II - IVP'!E33</f>
        <v>0</v>
      </c>
      <c r="F31" s="66">
        <f>'ANEXO II - IVP'!G33</f>
        <v>0</v>
      </c>
      <c r="G31" s="67">
        <f>'ANEXO II - IVP'!H33</f>
        <v>0</v>
      </c>
      <c r="H31" s="68">
        <f>'ANEXO II - IVP'!I33</f>
        <v>0</v>
      </c>
      <c r="I31" s="68">
        <f>'ANEXO II - IVP'!J33</f>
        <v>0</v>
      </c>
      <c r="J31" s="68">
        <f>'ANEXO II - IVP'!K33</f>
        <v>0</v>
      </c>
      <c r="K31" s="68">
        <f>'ANEXO II - IVP'!L33</f>
        <v>0</v>
      </c>
      <c r="L31" s="55"/>
      <c r="M31" s="52" t="str">
        <f t="shared" si="3"/>
        <v/>
      </c>
      <c r="O31" s="54">
        <f t="shared" si="2"/>
        <v>0</v>
      </c>
      <c r="P31" s="54">
        <f t="shared" si="0"/>
        <v>0</v>
      </c>
    </row>
    <row r="32" spans="3:16" s="49" customFormat="1" ht="18.95" customHeight="1" x14ac:dyDescent="0.25">
      <c r="C32" s="51">
        <v>17</v>
      </c>
      <c r="D32" s="57">
        <f>'ANEXO II - IVP'!D34</f>
        <v>0</v>
      </c>
      <c r="E32" s="58">
        <f>'ANEXO II - IVP'!E34</f>
        <v>0</v>
      </c>
      <c r="F32" s="66">
        <f>'ANEXO II - IVP'!G34</f>
        <v>0</v>
      </c>
      <c r="G32" s="67">
        <f>'ANEXO II - IVP'!H34</f>
        <v>0</v>
      </c>
      <c r="H32" s="68">
        <f>'ANEXO II - IVP'!I34</f>
        <v>0</v>
      </c>
      <c r="I32" s="68">
        <f>'ANEXO II - IVP'!J34</f>
        <v>0</v>
      </c>
      <c r="J32" s="68">
        <f>'ANEXO II - IVP'!K34</f>
        <v>0</v>
      </c>
      <c r="K32" s="68">
        <f>'ANEXO II - IVP'!L34</f>
        <v>0</v>
      </c>
      <c r="L32" s="55"/>
      <c r="M32" s="52" t="str">
        <f t="shared" si="3"/>
        <v/>
      </c>
      <c r="O32" s="54">
        <f t="shared" si="2"/>
        <v>0</v>
      </c>
      <c r="P32" s="54">
        <f>IF(COUNTIF($C32:$K32,0)&gt;0,0,1)</f>
        <v>0</v>
      </c>
    </row>
    <row r="33" spans="3:15" ht="3" customHeight="1" x14ac:dyDescent="0.2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3:15" ht="18.75" x14ac:dyDescent="0.2">
      <c r="C34" s="112" t="s">
        <v>74</v>
      </c>
      <c r="D34" s="112"/>
      <c r="E34" s="112"/>
      <c r="F34" s="112"/>
      <c r="G34" s="112"/>
      <c r="H34" s="112"/>
      <c r="I34" s="112"/>
      <c r="J34" s="112"/>
      <c r="K34" s="112"/>
      <c r="L34" s="59"/>
      <c r="M34" s="53" t="str">
        <f>IF(COUNTIF($O$16:$O$32,0)&gt;0,"",IF(COUNTIF($O$16:$O$32,3)&gt;0,"",SUM($M$16:$M$32)))</f>
        <v/>
      </c>
    </row>
    <row r="35" spans="3:15" ht="7.5" customHeight="1" x14ac:dyDescent="0.2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3:15" ht="23.25" x14ac:dyDescent="0.25">
      <c r="C36" s="96" t="s">
        <v>44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3:15" s="43" customFormat="1" ht="8.25" customHeight="1" x14ac:dyDescent="0.25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O37" s="61"/>
    </row>
    <row r="38" spans="3:15" s="43" customFormat="1" ht="18.75" x14ac:dyDescent="0.25">
      <c r="C38" s="103" t="s">
        <v>55</v>
      </c>
      <c r="D38" s="103"/>
      <c r="E38" s="103"/>
      <c r="F38" s="103"/>
      <c r="G38" s="62">
        <v>0.1</v>
      </c>
      <c r="H38" s="60"/>
      <c r="I38" s="41"/>
      <c r="J38" s="41"/>
      <c r="L38" s="60"/>
      <c r="M38" s="60"/>
      <c r="O38" s="61"/>
    </row>
    <row r="39" spans="3:15" s="43" customFormat="1" ht="5.0999999999999996" customHeight="1" x14ac:dyDescent="0.25">
      <c r="C39" s="60"/>
      <c r="D39" s="60"/>
      <c r="K39" s="60"/>
      <c r="L39" s="60"/>
      <c r="M39" s="60"/>
      <c r="O39" s="61"/>
    </row>
    <row r="40" spans="3:15" s="43" customFormat="1" ht="18.75" x14ac:dyDescent="0.25">
      <c r="C40" s="103" t="s">
        <v>87</v>
      </c>
      <c r="D40" s="103"/>
      <c r="E40" s="103"/>
      <c r="F40" s="103"/>
      <c r="G40" s="63">
        <f>SUM($P$16:$P$32)</f>
        <v>0</v>
      </c>
      <c r="H40" s="60" t="s">
        <v>88</v>
      </c>
      <c r="I40" s="41"/>
      <c r="J40" s="41"/>
      <c r="K40" s="111"/>
      <c r="L40" s="111"/>
      <c r="M40" s="111"/>
      <c r="O40" s="61"/>
    </row>
    <row r="41" spans="3:15" s="43" customFormat="1" ht="5.0999999999999996" customHeight="1" x14ac:dyDescent="0.25">
      <c r="C41" s="60"/>
      <c r="D41" s="60"/>
      <c r="K41" s="60"/>
      <c r="L41" s="60"/>
      <c r="M41" s="60"/>
      <c r="O41" s="61"/>
    </row>
    <row r="42" spans="3:15" s="43" customFormat="1" ht="18.75" x14ac:dyDescent="0.25">
      <c r="C42" s="103" t="s">
        <v>89</v>
      </c>
      <c r="D42" s="103"/>
      <c r="E42" s="103"/>
      <c r="F42" s="103"/>
      <c r="G42" s="64" t="str">
        <f>IF(COUNTIF($M$16:$M$32,"EXCLUÍDO"),"EXCLUÍDA",M34)</f>
        <v/>
      </c>
      <c r="H42" s="182" t="str">
        <f>IF($G$42="EXCLUÍDA","««PROPOSTA EXCLUÍDA: Viaturas propostas com ausencia do tipo de combustivel",IF(G42="","",IF(G42=1,"pt","pts")))</f>
        <v/>
      </c>
      <c r="I42" s="183"/>
      <c r="J42" s="183"/>
      <c r="K42" s="183"/>
      <c r="L42" s="183"/>
      <c r="M42" s="183"/>
      <c r="O42" s="61"/>
    </row>
    <row r="43" spans="3:15" s="43" customFormat="1" ht="5.0999999999999996" customHeight="1" x14ac:dyDescent="0.25">
      <c r="C43" s="60"/>
      <c r="D43" s="60"/>
      <c r="K43" s="60"/>
      <c r="L43" s="60"/>
      <c r="M43" s="60"/>
      <c r="O43" s="61"/>
    </row>
    <row r="44" spans="3:15" s="43" customFormat="1" ht="18.75" x14ac:dyDescent="0.25">
      <c r="C44" s="103" t="s">
        <v>56</v>
      </c>
      <c r="D44" s="103"/>
      <c r="E44" s="103"/>
      <c r="F44" s="103"/>
      <c r="G44" s="107" t="str">
        <f>IF($G$42="EXCLUÍDA","",IF($G$42="","",100+((G42-G40)/((G40-0)*0.01))))</f>
        <v/>
      </c>
      <c r="H44" s="108"/>
      <c r="I44" s="41"/>
      <c r="J44" s="41"/>
      <c r="L44" s="60"/>
      <c r="M44" s="60"/>
      <c r="O44" s="61"/>
    </row>
    <row r="45" spans="3:15" s="43" customFormat="1" ht="5.0999999999999996" customHeight="1" x14ac:dyDescent="0.25">
      <c r="C45" s="60"/>
      <c r="D45" s="60"/>
      <c r="K45" s="60"/>
      <c r="L45" s="60"/>
      <c r="M45" s="60"/>
      <c r="O45" s="61"/>
    </row>
    <row r="46" spans="3:15" s="43" customFormat="1" ht="24" customHeight="1" x14ac:dyDescent="0.25">
      <c r="C46" s="103" t="s">
        <v>54</v>
      </c>
      <c r="D46" s="103"/>
      <c r="E46" s="103"/>
      <c r="F46" s="103"/>
      <c r="G46" s="109" t="str">
        <f>IF($G$44="","",($G$38/100)*$G$44)</f>
        <v/>
      </c>
      <c r="H46" s="110"/>
      <c r="I46" s="41"/>
      <c r="J46" s="41"/>
      <c r="L46" s="60"/>
      <c r="M46" s="60"/>
      <c r="O46" s="61"/>
    </row>
    <row r="47" spans="3:15" s="43" customFormat="1" ht="15" x14ac:dyDescent="0.25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O47" s="61"/>
    </row>
  </sheetData>
  <sheetProtection algorithmName="SHA-512" hashValue="Ghi4j8TVqwW12iZ/dxliAa6A36NdTPJw/N1SoYvVUQLFEkZew6CxS3qqK5xJUCMYgMetLzDv9rijjWqhm4prKg==" saltValue="UrZ/r7JVTiERod8cobei4Q==" spinCount="100000" sheet="1" formatCells="0"/>
  <mergeCells count="31">
    <mergeCell ref="C46:F46"/>
    <mergeCell ref="G46:H46"/>
    <mergeCell ref="J14:J15"/>
    <mergeCell ref="C38:F38"/>
    <mergeCell ref="C40:F40"/>
    <mergeCell ref="K40:M40"/>
    <mergeCell ref="C42:F42"/>
    <mergeCell ref="H42:M42"/>
    <mergeCell ref="C44:F44"/>
    <mergeCell ref="G44:H44"/>
    <mergeCell ref="K14:K15"/>
    <mergeCell ref="M14:M15"/>
    <mergeCell ref="C34:K34"/>
    <mergeCell ref="C36:M36"/>
    <mergeCell ref="C14:C15"/>
    <mergeCell ref="D14:D15"/>
    <mergeCell ref="E14:E15"/>
    <mergeCell ref="F14:G14"/>
    <mergeCell ref="H14:H15"/>
    <mergeCell ref="I14:I15"/>
    <mergeCell ref="C9:M9"/>
    <mergeCell ref="C11:E11"/>
    <mergeCell ref="F11:K11"/>
    <mergeCell ref="C12:E12"/>
    <mergeCell ref="F12:K12"/>
    <mergeCell ref="C2:M2"/>
    <mergeCell ref="C3:M3"/>
    <mergeCell ref="C4:M4"/>
    <mergeCell ref="E6:L6"/>
    <mergeCell ref="C7:D7"/>
    <mergeCell ref="E7:L7"/>
  </mergeCells>
  <conditionalFormatting sqref="D16:K32">
    <cfRule type="cellIs" dxfId="6" priority="3" operator="equal">
      <formula>0</formula>
    </cfRule>
  </conditionalFormatting>
  <conditionalFormatting sqref="G42">
    <cfRule type="cellIs" dxfId="5" priority="2" operator="equal">
      <formula>"EXCLUÍDA"</formula>
    </cfRule>
  </conditionalFormatting>
  <conditionalFormatting sqref="H42">
    <cfRule type="cellIs" dxfId="4" priority="1" operator="equal">
      <formula>"««PROPOSTA EXCLUÍDA: Viaturas propostas com ausencia do tipo de combustivel"</formula>
    </cfRule>
  </conditionalFormatting>
  <conditionalFormatting sqref="H42:M42">
    <cfRule type="cellIs" dxfId="3" priority="4" operator="equal">
      <formula>"«« PROPOSTA EXCLUÍDA: Idade de viatura proposta superior ao Valor Base fixado no Caderno de encargos"</formula>
    </cfRule>
  </conditionalFormatting>
  <conditionalFormatting sqref="M16:M32">
    <cfRule type="expression" dxfId="2" priority="5">
      <formula>$M16="EXCLUÍDO"</formula>
    </cfRule>
  </conditionalFormatting>
  <conditionalFormatting sqref="M32:M33">
    <cfRule type="cellIs" dxfId="1" priority="6" operator="equal">
      <formula>0</formula>
    </cfRule>
  </conditionalFormatting>
  <conditionalFormatting sqref="M33:M34">
    <cfRule type="cellIs" dxfId="0" priority="7" operator="equal">
      <formula>"EXCLUÍDO"</formula>
    </cfRule>
  </conditionalFormatting>
  <printOptions horizontalCentered="1"/>
  <pageMargins left="0.35" right="0.24" top="0.4" bottom="0.36" header="0.19685039370078741" footer="0.23622047244094491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9</vt:i4>
      </vt:variant>
    </vt:vector>
  </HeadingPairs>
  <TitlesOfParts>
    <vt:vector size="13" baseType="lpstr">
      <vt:lpstr>BD</vt:lpstr>
      <vt:lpstr>ANEXO II - PTP</vt:lpstr>
      <vt:lpstr>ANEXO II - IVP</vt:lpstr>
      <vt:lpstr>ANEXO II - CEVE</vt:lpstr>
      <vt:lpstr>'ANEXO II - CEVE'!Área_de_Impressão</vt:lpstr>
      <vt:lpstr>'ANEXO II - IVP'!Área_de_Impressão</vt:lpstr>
      <vt:lpstr>'ANEXO II - PTP'!Área_de_Impressão</vt:lpstr>
      <vt:lpstr>COMBUSTIVEL</vt:lpstr>
      <vt:lpstr>INTERVALO</vt:lpstr>
      <vt:lpstr>IVA</vt:lpstr>
      <vt:lpstr>LUGARES</vt:lpstr>
      <vt:lpstr>SCM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Telmo Silvestre</dc:creator>
  <cp:lastModifiedBy>Telmo Silvestre</cp:lastModifiedBy>
  <cp:lastPrinted>2026-05-14T11:50:29Z</cp:lastPrinted>
  <dcterms:created xsi:type="dcterms:W3CDTF">2015-06-05T18:19:34Z</dcterms:created>
  <dcterms:modified xsi:type="dcterms:W3CDTF">2026-06-15T09:42:04Z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0328b2-cbbd-405e-b01b-32c4759a0ed0_Enabled">
    <vt:lpwstr>true</vt:lpwstr>
  </property>
  <property fmtid="{D5CDD505-2E9C-101B-9397-08002B2CF9AE}" pid="3" name="MSIP_Label_e60328b2-cbbd-405e-b01b-32c4759a0ed0_SetDate">
    <vt:lpwstr>2026-04-09T20:46:50Z</vt:lpwstr>
  </property>
  <property fmtid="{D5CDD505-2E9C-101B-9397-08002B2CF9AE}" pid="4" name="MSIP_Label_e60328b2-cbbd-405e-b01b-32c4759a0ed0_Method">
    <vt:lpwstr>Standard</vt:lpwstr>
  </property>
  <property fmtid="{D5CDD505-2E9C-101B-9397-08002B2CF9AE}" pid="5" name="MSIP_Label_e60328b2-cbbd-405e-b01b-32c4759a0ed0_Name">
    <vt:lpwstr>Public Label</vt:lpwstr>
  </property>
  <property fmtid="{D5CDD505-2E9C-101B-9397-08002B2CF9AE}" pid="6" name="MSIP_Label_e60328b2-cbbd-405e-b01b-32c4759a0ed0_SiteId">
    <vt:lpwstr>22c84608-f01d-46c5-8024-63cc962e5f51</vt:lpwstr>
  </property>
  <property fmtid="{D5CDD505-2E9C-101B-9397-08002B2CF9AE}" pid="7" name="MSIP_Label_e60328b2-cbbd-405e-b01b-32c4759a0ed0_ActionId">
    <vt:lpwstr>22369b9d-4f74-4cbe-888d-0b337b3d5835</vt:lpwstr>
  </property>
  <property fmtid="{D5CDD505-2E9C-101B-9397-08002B2CF9AE}" pid="8" name="MSIP_Label_e60328b2-cbbd-405e-b01b-32c4759a0ed0_ContentBits">
    <vt:lpwstr>0</vt:lpwstr>
  </property>
  <property fmtid="{D5CDD505-2E9C-101B-9397-08002B2CF9AE}" pid="9" name="MSIP_Label_e60328b2-cbbd-405e-b01b-32c4759a0ed0_Tag">
    <vt:lpwstr>10, 3, 0, 1</vt:lpwstr>
  </property>
</Properties>
</file>